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elad\Documents\Charter Doozy\"/>
    </mc:Choice>
  </mc:AlternateContent>
  <xr:revisionPtr revIDLastSave="0" documentId="8_{7B095790-843A-4545-B167-2B7DA0840BE4}" xr6:coauthVersionLast="47" xr6:coauthVersionMax="47" xr10:uidLastSave="{00000000-0000-0000-0000-000000000000}"/>
  <bookViews>
    <workbookView xWindow="-110" yWindow="-110" windowWidth="25820" windowHeight="15500" xr2:uid="{00000000-000D-0000-FFFF-FFFF00000000}"/>
  </bookViews>
  <sheets>
    <sheet name="Cost Benefit" sheetId="4" r:id="rId1"/>
    <sheet name="Earnings NPV" sheetId="2" r:id="rId2"/>
    <sheet name="Cost Calc" sheetId="3" r:id="rId3"/>
  </sheets>
  <calcPr calcId="191029" iterateCount="10"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4" l="1"/>
  <c r="Q4"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 i="2"/>
  <c r="D12" i="4"/>
  <c r="D18" i="4" s="1"/>
  <c r="D8" i="4"/>
  <c r="C15" i="3"/>
  <c r="D15" i="4" s="1"/>
  <c r="C14" i="3"/>
  <c r="C13" i="3"/>
  <c r="C5" i="3"/>
  <c r="C9" i="3" s="1"/>
  <c r="Q5" i="2" s="1"/>
  <c r="C8" i="2"/>
  <c r="C16" i="2"/>
  <c r="P64" i="2"/>
  <c r="G5" i="2"/>
  <c r="D20" i="4" l="1"/>
  <c r="M4" i="2"/>
  <c r="L4" i="2"/>
  <c r="N4" i="2" s="1"/>
  <c r="P5" i="2"/>
  <c r="I4" i="2"/>
  <c r="J4" i="2"/>
  <c r="I5" i="2"/>
  <c r="L5" i="2" s="1"/>
  <c r="J5" i="2"/>
  <c r="M5" i="2" s="1"/>
  <c r="N5" i="2" s="1"/>
  <c r="G6" i="2"/>
  <c r="H5" i="2"/>
  <c r="M6" i="2" l="1"/>
  <c r="L6" i="2"/>
  <c r="N6" i="2" s="1"/>
  <c r="K4" i="2"/>
  <c r="P6" i="2" s="1"/>
  <c r="I6" i="2"/>
  <c r="J6" i="2"/>
  <c r="K5" i="2"/>
  <c r="H6" i="2"/>
  <c r="G7" i="2"/>
  <c r="K6" i="2" l="1"/>
  <c r="P8" i="2" s="1"/>
  <c r="I7" i="2"/>
  <c r="L7" i="2" s="1"/>
  <c r="J7" i="2"/>
  <c r="P7" i="2"/>
  <c r="H7" i="2"/>
  <c r="G8" i="2"/>
  <c r="K7" i="2" l="1"/>
  <c r="M7" i="2"/>
  <c r="N7" i="2" s="1"/>
  <c r="P9" i="2" s="1"/>
  <c r="I8" i="2"/>
  <c r="L8" i="2" s="1"/>
  <c r="J8" i="2"/>
  <c r="M8" i="2" s="1"/>
  <c r="N8" i="2" s="1"/>
  <c r="H8" i="2"/>
  <c r="G9" i="2"/>
  <c r="J9" i="2" l="1"/>
  <c r="K8" i="2"/>
  <c r="H9" i="2"/>
  <c r="G10" i="2"/>
  <c r="I9" i="2" l="1"/>
  <c r="L9" i="2" s="1"/>
  <c r="M9" i="2"/>
  <c r="J10" i="2"/>
  <c r="P10" i="2"/>
  <c r="K9" i="2"/>
  <c r="H10" i="2"/>
  <c r="G11" i="2"/>
  <c r="N9" i="2" l="1"/>
  <c r="I10" i="2"/>
  <c r="L10" i="2" s="1"/>
  <c r="M10" i="2"/>
  <c r="N10" i="2" s="1"/>
  <c r="J11" i="2"/>
  <c r="K10" i="2"/>
  <c r="H11" i="2"/>
  <c r="G12" i="2"/>
  <c r="P11" i="2" l="1"/>
  <c r="I11" i="2"/>
  <c r="L11" i="2" s="1"/>
  <c r="M11" i="2"/>
  <c r="N11" i="2" s="1"/>
  <c r="M12" i="2"/>
  <c r="N12" i="2" s="1"/>
  <c r="L12" i="2"/>
  <c r="J12" i="2"/>
  <c r="I12" i="2" s="1"/>
  <c r="P12" i="2"/>
  <c r="K11" i="2"/>
  <c r="H12" i="2"/>
  <c r="G13" i="2"/>
  <c r="J13" i="2" l="1"/>
  <c r="P13" i="2"/>
  <c r="K12" i="2"/>
  <c r="P14" i="2" s="1"/>
  <c r="H13" i="2"/>
  <c r="G14" i="2"/>
  <c r="I13" i="2" l="1"/>
  <c r="L13" i="2" s="1"/>
  <c r="M13" i="2"/>
  <c r="N13" i="2" s="1"/>
  <c r="M14" i="2"/>
  <c r="J14" i="2"/>
  <c r="K13" i="2"/>
  <c r="H14" i="2"/>
  <c r="G15" i="2"/>
  <c r="P15" i="2" l="1"/>
  <c r="I14" i="2"/>
  <c r="J15" i="2"/>
  <c r="H15" i="2"/>
  <c r="G16" i="2"/>
  <c r="K14" i="2" l="1"/>
  <c r="L14" i="2"/>
  <c r="N14" i="2" s="1"/>
  <c r="P16" i="2" s="1"/>
  <c r="I15" i="2"/>
  <c r="L15" i="2" s="1"/>
  <c r="M15" i="2"/>
  <c r="N15" i="2" s="1"/>
  <c r="J16" i="2"/>
  <c r="M16" i="2" s="1"/>
  <c r="K15" i="2"/>
  <c r="P17" i="2" s="1"/>
  <c r="H16" i="2"/>
  <c r="G17" i="2"/>
  <c r="I16" i="2" l="1"/>
  <c r="J17" i="2"/>
  <c r="H17" i="2"/>
  <c r="G18" i="2"/>
  <c r="K16" i="2" l="1"/>
  <c r="L16" i="2"/>
  <c r="N16" i="2" s="1"/>
  <c r="P18" i="2" s="1"/>
  <c r="I17" i="2"/>
  <c r="L17" i="2" s="1"/>
  <c r="M17" i="2"/>
  <c r="M18" i="2"/>
  <c r="J18" i="2"/>
  <c r="I18" i="2" s="1"/>
  <c r="K17" i="2"/>
  <c r="H18" i="2"/>
  <c r="G19" i="2"/>
  <c r="N17" i="2" l="1"/>
  <c r="P19" i="2" s="1"/>
  <c r="K18" i="2"/>
  <c r="L18" i="2"/>
  <c r="N18" i="2" s="1"/>
  <c r="P20" i="2" s="1"/>
  <c r="J19" i="2"/>
  <c r="G20" i="2"/>
  <c r="H19" i="2"/>
  <c r="I19" i="2" l="1"/>
  <c r="L19" i="2" s="1"/>
  <c r="M19" i="2"/>
  <c r="N19" i="2" s="1"/>
  <c r="J20" i="2"/>
  <c r="K19" i="2"/>
  <c r="H20" i="2"/>
  <c r="G21" i="2"/>
  <c r="P21" i="2" l="1"/>
  <c r="I20" i="2"/>
  <c r="M20" i="2"/>
  <c r="J21" i="2"/>
  <c r="H21" i="2"/>
  <c r="G22" i="2"/>
  <c r="L20" i="2" l="1"/>
  <c r="N20" i="2" s="1"/>
  <c r="P22" i="2" s="1"/>
  <c r="K20" i="2"/>
  <c r="I21" i="2"/>
  <c r="L21" i="2" s="1"/>
  <c r="M21" i="2"/>
  <c r="N21" i="2" s="1"/>
  <c r="J22" i="2"/>
  <c r="K21" i="2"/>
  <c r="P23" i="2" s="1"/>
  <c r="H22" i="2"/>
  <c r="G23" i="2"/>
  <c r="I22" i="2" l="1"/>
  <c r="L22" i="2" s="1"/>
  <c r="M22" i="2"/>
  <c r="N22" i="2" s="1"/>
  <c r="J23" i="2"/>
  <c r="K22" i="2"/>
  <c r="H23" i="2"/>
  <c r="G24" i="2"/>
  <c r="P24" i="2" l="1"/>
  <c r="I23" i="2"/>
  <c r="L23" i="2" s="1"/>
  <c r="M23" i="2"/>
  <c r="J24" i="2"/>
  <c r="K23" i="2"/>
  <c r="H24" i="2"/>
  <c r="G25" i="2"/>
  <c r="N23" i="2" l="1"/>
  <c r="P25" i="2" s="1"/>
  <c r="I24" i="2"/>
  <c r="L24" i="2" s="1"/>
  <c r="M24" i="2"/>
  <c r="N24" i="2" s="1"/>
  <c r="J25" i="2"/>
  <c r="K24" i="2"/>
  <c r="P26" i="2" s="1"/>
  <c r="H25" i="2"/>
  <c r="G26" i="2"/>
  <c r="I25" i="2" l="1"/>
  <c r="L25" i="2" s="1"/>
  <c r="M25" i="2"/>
  <c r="N25" i="2" s="1"/>
  <c r="M26" i="2"/>
  <c r="J26" i="2"/>
  <c r="K25" i="2"/>
  <c r="H26" i="2"/>
  <c r="G27" i="2"/>
  <c r="P27" i="2" l="1"/>
  <c r="I26" i="2"/>
  <c r="J27" i="2"/>
  <c r="H27" i="2"/>
  <c r="G28" i="2"/>
  <c r="K26" i="2" l="1"/>
  <c r="L26" i="2"/>
  <c r="N26" i="2" s="1"/>
  <c r="P28" i="2" s="1"/>
  <c r="I27" i="2"/>
  <c r="L27" i="2" s="1"/>
  <c r="M27" i="2"/>
  <c r="N27" i="2" s="1"/>
  <c r="J28" i="2"/>
  <c r="K27" i="2"/>
  <c r="P29" i="2" s="1"/>
  <c r="H28" i="2"/>
  <c r="G29" i="2"/>
  <c r="I28" i="2" l="1"/>
  <c r="L28" i="2" s="1"/>
  <c r="M28" i="2"/>
  <c r="N28" i="2" s="1"/>
  <c r="M29" i="2"/>
  <c r="J29" i="2"/>
  <c r="I29" i="2" s="1"/>
  <c r="L29" i="2" s="1"/>
  <c r="K28" i="2"/>
  <c r="H29" i="2"/>
  <c r="G30" i="2"/>
  <c r="P30" i="2" l="1"/>
  <c r="N29" i="2"/>
  <c r="J30" i="2"/>
  <c r="K29" i="2"/>
  <c r="H30" i="2"/>
  <c r="G31" i="2"/>
  <c r="P31" i="2" l="1"/>
  <c r="I30" i="2"/>
  <c r="L30" i="2" s="1"/>
  <c r="M30" i="2"/>
  <c r="N30" i="2" s="1"/>
  <c r="M31" i="2"/>
  <c r="N31" i="2" s="1"/>
  <c r="L31" i="2"/>
  <c r="J31" i="2"/>
  <c r="I31" i="2" s="1"/>
  <c r="K30" i="2"/>
  <c r="H31" i="2"/>
  <c r="G32" i="2"/>
  <c r="P32" i="2" l="1"/>
  <c r="J32" i="2"/>
  <c r="K31" i="2"/>
  <c r="P33" i="2" s="1"/>
  <c r="H32" i="2"/>
  <c r="G33" i="2"/>
  <c r="I32" i="2" l="1"/>
  <c r="L32" i="2" s="1"/>
  <c r="M32" i="2"/>
  <c r="J33" i="2"/>
  <c r="K32" i="2"/>
  <c r="H33" i="2"/>
  <c r="G34" i="2"/>
  <c r="N32" i="2" l="1"/>
  <c r="P34" i="2" s="1"/>
  <c r="I33" i="2"/>
  <c r="L33" i="2" s="1"/>
  <c r="M33" i="2"/>
  <c r="N33" i="2" s="1"/>
  <c r="M34" i="2"/>
  <c r="N34" i="2" s="1"/>
  <c r="L34" i="2"/>
  <c r="J34" i="2"/>
  <c r="I34" i="2" s="1"/>
  <c r="K33" i="2"/>
  <c r="H34" i="2"/>
  <c r="G35" i="2"/>
  <c r="P35" i="2" l="1"/>
  <c r="J35" i="2"/>
  <c r="K34" i="2"/>
  <c r="P36" i="2" s="1"/>
  <c r="H35" i="2"/>
  <c r="G36" i="2"/>
  <c r="I35" i="2" l="1"/>
  <c r="L35" i="2" s="1"/>
  <c r="M35" i="2"/>
  <c r="J36" i="2"/>
  <c r="M36" i="2" s="1"/>
  <c r="K35" i="2"/>
  <c r="H36" i="2"/>
  <c r="G37" i="2"/>
  <c r="N35" i="2" l="1"/>
  <c r="P37" i="2" s="1"/>
  <c r="I36" i="2"/>
  <c r="J37" i="2"/>
  <c r="H37" i="2"/>
  <c r="G38" i="2"/>
  <c r="K36" i="2" l="1"/>
  <c r="L36" i="2"/>
  <c r="N36" i="2" s="1"/>
  <c r="P38" i="2" s="1"/>
  <c r="I37" i="2"/>
  <c r="L37" i="2" s="1"/>
  <c r="M37" i="2"/>
  <c r="N37" i="2" s="1"/>
  <c r="M38" i="2"/>
  <c r="K37" i="2"/>
  <c r="J38" i="2"/>
  <c r="H38" i="2"/>
  <c r="G39" i="2"/>
  <c r="P39" i="2" l="1"/>
  <c r="M39" i="2"/>
  <c r="N39" i="2" s="1"/>
  <c r="L39" i="2"/>
  <c r="I38" i="2"/>
  <c r="J39" i="2"/>
  <c r="I39" i="2"/>
  <c r="H39" i="2"/>
  <c r="G40" i="2"/>
  <c r="K38" i="2" l="1"/>
  <c r="L38" i="2"/>
  <c r="N38" i="2" s="1"/>
  <c r="P40" i="2" s="1"/>
  <c r="J40" i="2"/>
  <c r="K39" i="2"/>
  <c r="P41" i="2" s="1"/>
  <c r="H40" i="2"/>
  <c r="G41" i="2"/>
  <c r="I40" i="2" l="1"/>
  <c r="L40" i="2" s="1"/>
  <c r="M40" i="2"/>
  <c r="N40" i="2" s="1"/>
  <c r="M41" i="2"/>
  <c r="J41" i="2"/>
  <c r="K40" i="2"/>
  <c r="H41" i="2"/>
  <c r="G42" i="2"/>
  <c r="P42" i="2" l="1"/>
  <c r="I41" i="2"/>
  <c r="J42" i="2"/>
  <c r="M42" i="2" s="1"/>
  <c r="H42" i="2"/>
  <c r="G43" i="2"/>
  <c r="K41" i="2" l="1"/>
  <c r="L41" i="2"/>
  <c r="N41" i="2" s="1"/>
  <c r="P43" i="2" s="1"/>
  <c r="I42" i="2"/>
  <c r="J43" i="2"/>
  <c r="H43" i="2"/>
  <c r="G44" i="2"/>
  <c r="K42" i="2" l="1"/>
  <c r="L42" i="2"/>
  <c r="N42" i="2" s="1"/>
  <c r="P44" i="2" s="1"/>
  <c r="P4" i="2" s="1"/>
  <c r="I43" i="2"/>
  <c r="M43" i="2"/>
  <c r="M44" i="2"/>
  <c r="L44" i="2"/>
  <c r="N44" i="2"/>
  <c r="I44" i="2"/>
  <c r="J44" i="2"/>
  <c r="H44" i="2"/>
  <c r="K44" i="2"/>
  <c r="G45" i="2"/>
  <c r="L43" i="2" l="1"/>
  <c r="N43" i="2" s="1"/>
  <c r="P45" i="2" s="1"/>
  <c r="K43" i="2"/>
  <c r="M45" i="2"/>
  <c r="L45" i="2"/>
  <c r="N45" i="2"/>
  <c r="I45" i="2"/>
  <c r="J45" i="2"/>
  <c r="H45" i="2"/>
  <c r="K45" i="2"/>
  <c r="G46" i="2"/>
  <c r="M46" i="2" l="1"/>
  <c r="L46" i="2"/>
  <c r="N46" i="2"/>
  <c r="I46" i="2"/>
  <c r="J46" i="2"/>
  <c r="H46" i="2"/>
  <c r="K46" i="2"/>
  <c r="P46" i="2"/>
  <c r="G47" i="2"/>
  <c r="M47" i="2" l="1"/>
  <c r="L47" i="2"/>
  <c r="N47" i="2"/>
  <c r="P47" i="2" s="1"/>
  <c r="I47" i="2"/>
  <c r="J47" i="2"/>
  <c r="K47" i="2"/>
  <c r="H47" i="2"/>
  <c r="G48" i="2"/>
  <c r="M48" i="2" l="1"/>
  <c r="L48" i="2"/>
  <c r="N48" i="2"/>
  <c r="I48" i="2"/>
  <c r="J48" i="2"/>
  <c r="P48" i="2"/>
  <c r="K48" i="2"/>
  <c r="G49" i="2"/>
  <c r="H48" i="2"/>
  <c r="M49" i="2" l="1"/>
  <c r="L49" i="2"/>
  <c r="N49" i="2"/>
  <c r="P49" i="2" s="1"/>
  <c r="I49" i="2"/>
  <c r="J49" i="2"/>
  <c r="K49" i="2"/>
  <c r="G50" i="2"/>
  <c r="H49" i="2"/>
  <c r="M50" i="2" l="1"/>
  <c r="L50" i="2"/>
  <c r="N50" i="2"/>
  <c r="P50" i="2" s="1"/>
  <c r="J50" i="2"/>
  <c r="I50" i="2"/>
  <c r="K50" i="2"/>
  <c r="H50" i="2"/>
  <c r="G51" i="2"/>
  <c r="M51" i="2" l="1"/>
  <c r="L51" i="2"/>
  <c r="N51" i="2"/>
  <c r="P51" i="2" s="1"/>
  <c r="I51" i="2"/>
  <c r="J51" i="2"/>
  <c r="K51" i="2"/>
  <c r="H51" i="2"/>
  <c r="G52" i="2"/>
  <c r="M52" i="2" l="1"/>
  <c r="L52" i="2"/>
  <c r="N52" i="2"/>
  <c r="P52" i="2" s="1"/>
  <c r="I52" i="2"/>
  <c r="J52" i="2"/>
  <c r="K52" i="2"/>
  <c r="H52" i="2"/>
  <c r="G53" i="2"/>
  <c r="M53" i="2" l="1"/>
  <c r="L53" i="2"/>
  <c r="N53" i="2"/>
  <c r="P53" i="2" s="1"/>
  <c r="I53" i="2"/>
  <c r="J53" i="2"/>
  <c r="G54" i="2"/>
  <c r="H53" i="2"/>
  <c r="K53" i="2"/>
  <c r="M54" i="2" l="1"/>
  <c r="L54" i="2"/>
  <c r="N54" i="2"/>
  <c r="P54" i="2" s="1"/>
  <c r="I54" i="2"/>
  <c r="J54" i="2"/>
  <c r="K54" i="2"/>
  <c r="G55" i="2"/>
  <c r="H54" i="2"/>
  <c r="M55" i="2" l="1"/>
  <c r="L55" i="2"/>
  <c r="N55" i="2"/>
  <c r="P55" i="2" s="1"/>
  <c r="I55" i="2"/>
  <c r="J55" i="2"/>
  <c r="G56" i="2"/>
  <c r="H55" i="2"/>
  <c r="K55" i="2"/>
  <c r="M56" i="2" l="1"/>
  <c r="L56" i="2"/>
  <c r="N56" i="2"/>
  <c r="I56" i="2"/>
  <c r="J56" i="2"/>
  <c r="K56" i="2"/>
  <c r="H56" i="2"/>
  <c r="P56" i="2"/>
  <c r="G57" i="2"/>
  <c r="M57" i="2" l="1"/>
  <c r="L57" i="2"/>
  <c r="N57" i="2"/>
  <c r="I57" i="2"/>
  <c r="J57" i="2"/>
  <c r="H57" i="2"/>
  <c r="P57" i="2"/>
  <c r="K57" i="2"/>
  <c r="G58" i="2"/>
  <c r="L58" i="2" l="1"/>
  <c r="M58" i="2"/>
  <c r="N58" i="2"/>
  <c r="I58" i="2"/>
  <c r="J58" i="2"/>
  <c r="K58" i="2"/>
  <c r="H58" i="2"/>
  <c r="P58" i="2"/>
  <c r="G59" i="2"/>
  <c r="M59" i="2" l="1"/>
  <c r="L59" i="2"/>
  <c r="N59" i="2"/>
  <c r="J59" i="2"/>
  <c r="I59" i="2"/>
  <c r="K59" i="2"/>
  <c r="P59" i="2"/>
  <c r="G60" i="2"/>
  <c r="H59" i="2"/>
  <c r="M60" i="2" l="1"/>
  <c r="L60" i="2"/>
  <c r="N60" i="2"/>
  <c r="I60" i="2"/>
  <c r="J60" i="2"/>
  <c r="H60" i="2"/>
  <c r="P60" i="2"/>
  <c r="K60" i="2"/>
  <c r="G61" i="2"/>
  <c r="L61" i="2" l="1"/>
  <c r="M61" i="2"/>
  <c r="N61" i="2"/>
  <c r="P61" i="2" s="1"/>
  <c r="I61" i="2"/>
  <c r="J61" i="2"/>
  <c r="K61" i="2"/>
  <c r="H61" i="2"/>
  <c r="G62" i="2"/>
  <c r="M62" i="2" l="1"/>
  <c r="L62" i="2"/>
  <c r="N62" i="2"/>
  <c r="P62" i="2" s="1"/>
  <c r="J62" i="2"/>
  <c r="I62" i="2"/>
  <c r="G63" i="2"/>
  <c r="H62" i="2"/>
  <c r="K62" i="2"/>
  <c r="M63" i="2" l="1"/>
  <c r="L63" i="2"/>
  <c r="N63" i="2"/>
  <c r="I63" i="2"/>
  <c r="J63" i="2"/>
  <c r="H63" i="2"/>
  <c r="K63" i="2"/>
  <c r="C21" i="2" l="1"/>
  <c r="C22" i="2"/>
  <c r="P6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6" authorId="0" shapeId="0" xr:uid="{00000000-0006-0000-0100-000001000000}">
      <text>
        <r>
          <rPr>
            <sz val="10"/>
            <color rgb="FF000000"/>
            <rFont val="Arial"/>
            <family val="2"/>
            <scheme val="minor"/>
          </rPr>
          <t>https://www.efinancialcareers.com/news/2018/09/perfect-age-cfa-charter
https://www.efinancialcareers.com/news/2015/01/how-old-is-too-old-to-be-bothered-with-the-cfa
https://www.cfainstitute.org/-/media/documents/support/programs/cfa/</t>
        </r>
      </text>
    </comment>
    <comment ref="E7" authorId="0" shapeId="0" xr:uid="{00000000-0006-0000-0100-000002000000}">
      <text>
        <r>
          <rPr>
            <sz val="10"/>
            <color rgb="FF000000"/>
            <rFont val="Arial"/>
            <family val="2"/>
            <scheme val="minor"/>
          </rPr>
          <t>https://www.forbes.com/advisor/retirement/average-retirement-age/</t>
        </r>
      </text>
    </comment>
    <comment ref="E10" authorId="0" shapeId="0" xr:uid="{00000000-0006-0000-0100-000003000000}">
      <text>
        <r>
          <rPr>
            <sz val="10"/>
            <color rgb="FF000000"/>
            <rFont val="Arial"/>
            <family val="2"/>
            <scheme val="minor"/>
          </rPr>
          <t>https://ycharts.com/indicators/10_year_treasury_rate</t>
        </r>
      </text>
    </comment>
    <comment ref="E11" authorId="0" shapeId="0" xr:uid="{00000000-0006-0000-0100-000004000000}">
      <text>
        <r>
          <rPr>
            <sz val="10"/>
            <color rgb="FF000000"/>
            <rFont val="Arial"/>
            <family val="2"/>
            <scheme val="minor"/>
          </rPr>
          <t>https://www.statista.com/statistics/1351276/wage-growth-vs-inflation-us/</t>
        </r>
      </text>
    </comment>
    <comment ref="E12" authorId="0" shapeId="0" xr:uid="{00000000-0006-0000-0100-000005000000}">
      <text>
        <r>
          <rPr>
            <sz val="10"/>
            <color rgb="FF000000"/>
            <rFont val="Arial"/>
            <family val="2"/>
            <scheme val="minor"/>
          </rPr>
          <t>https://www.bankrate.com/taxes/quick-tax-rate-calculator/</t>
        </r>
      </text>
    </comment>
    <comment ref="E14" authorId="0" shapeId="0" xr:uid="{00000000-0006-0000-0100-000006000000}">
      <text>
        <r>
          <rPr>
            <sz val="10"/>
            <color rgb="FF000000"/>
            <rFont val="Arial"/>
            <family val="2"/>
            <scheme val="minor"/>
          </rPr>
          <t>Calculated backwards such that Avg salary with CFA = $180,000
https://www.cfainstitute.org/programs/cfa-program/careers/credential-comparison</t>
        </r>
      </text>
    </comment>
    <comment ref="E15" authorId="0" shapeId="0" xr:uid="{00000000-0006-0000-0100-000007000000}">
      <text>
        <r>
          <rPr>
            <sz val="10"/>
            <color rgb="FF000000"/>
            <rFont val="Arial"/>
            <family val="2"/>
            <scheme val="minor"/>
          </rPr>
          <t>https://300hours.com/cfa-salary-increase/</t>
        </r>
      </text>
    </comment>
    <comment ref="E18" authorId="0" shapeId="0" xr:uid="{DA19AF85-12C7-4EAC-95E8-1DCD8B8D21FC}">
      <text>
        <r>
          <rPr>
            <sz val="10"/>
            <color rgb="FF000000"/>
            <rFont val="Arial"/>
            <family val="2"/>
            <scheme val="minor"/>
          </rPr>
          <t>Assume that as individuals reach more senior positions their academic credentials become less important, and their experience expertise and tenure become more important. Therefore assume that the 'CFA Salary Gap' only persists fo a fixed period.</t>
        </r>
      </text>
    </comment>
    <comment ref="E19" authorId="0" shapeId="0" xr:uid="{44A69E14-6ADC-4A6D-AF4D-83C099F2B964}">
      <text>
        <r>
          <rPr>
            <sz val="10"/>
            <color rgb="FF000000"/>
            <rFont val="Arial"/>
            <family val="2"/>
            <scheme val="minor"/>
          </rPr>
          <t xml:space="preserve">Following the 'Salary Gap Period', assume that salaries of CFA Charterholders and non-Charterholders converge over a period fixed period.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7" authorId="0" shapeId="0" xr:uid="{42427D8B-2762-4EB8-AA91-595D16B0E0A3}">
      <text>
        <r>
          <rPr>
            <sz val="10"/>
            <color rgb="FF000000"/>
            <rFont val="Arial"/>
            <family val="2"/>
            <scheme val="minor"/>
          </rPr>
          <t>For 2024 year (https://300hours.com/cfa-exam-cost/)
Assume exam inflation rate equals (offsets) discount rate.</t>
        </r>
      </text>
    </comment>
    <comment ref="E8" authorId="0" shapeId="0" xr:uid="{47AEFF56-0617-4516-B5B6-2EC3D3D7F7CC}">
      <text>
        <r>
          <rPr>
            <sz val="10"/>
            <color rgb="FF000000"/>
            <rFont val="Arial"/>
            <family val="2"/>
            <scheme val="minor"/>
          </rPr>
          <t>2024 rates (https://300hours.com/cfa-exam-cost/)
Ignore Early Registration Discount.
Assume exam inflation rate equals (offsets) discount rate.</t>
        </r>
      </text>
    </comment>
    <comment ref="E13" authorId="0" shapeId="0" xr:uid="{6149519A-C63C-41C7-8CB5-0A4036DC696D}">
      <text>
        <r>
          <rPr>
            <sz val="10"/>
            <color rgb="FF000000"/>
            <rFont val="Arial"/>
            <family val="2"/>
            <scheme val="minor"/>
          </rPr>
          <t>40 hours per week × 52 weeks  = 2,080 hours per year</t>
        </r>
      </text>
    </comment>
  </commentList>
</comments>
</file>

<file path=xl/sharedStrings.xml><?xml version="1.0" encoding="utf-8"?>
<sst xmlns="http://schemas.openxmlformats.org/spreadsheetml/2006/main" count="99" uniqueCount="71">
  <si>
    <t>Chartered Financial Analyst (CFA)</t>
  </si>
  <si>
    <t>NPV Calculation</t>
  </si>
  <si>
    <t>Year</t>
  </si>
  <si>
    <t>IRR Calculation</t>
  </si>
  <si>
    <t>Age</t>
  </si>
  <si>
    <t>years</t>
  </si>
  <si>
    <t>📝</t>
  </si>
  <si>
    <t>Retirement Age</t>
  </si>
  <si>
    <t xml:space="preserve">Remaining Career Length </t>
  </si>
  <si>
    <t>Discount Rate</t>
  </si>
  <si>
    <t>per annum</t>
  </si>
  <si>
    <t>Long-term average salary Inflation</t>
  </si>
  <si>
    <t>Average Tax Rate</t>
  </si>
  <si>
    <t>Average Salary with CFA (before tax)</t>
  </si>
  <si>
    <t>Lifetime Incremental After-tax Earnings Boost from CFA</t>
  </si>
  <si>
    <t>ASSUMPTIONS</t>
  </si>
  <si>
    <t>Average Salary Differential from the CFA Charter</t>
  </si>
  <si>
    <t>Average Salary without CFA (before tax)</t>
  </si>
  <si>
    <t>Annual Income ($)</t>
  </si>
  <si>
    <t>Average Tax Rate (%)</t>
  </si>
  <si>
    <t>Average Salary without CFA Charter(Before Tax)</t>
  </si>
  <si>
    <t>Average Salary with CFA Charter (Before Tax)</t>
  </si>
  <si>
    <t>Incremental Earnings from CFA Charter</t>
  </si>
  <si>
    <t>Average Salary without CFA Charter (After Tax)</t>
  </si>
  <si>
    <t>Average Salary with CFA Charter (After Tax)</t>
  </si>
  <si>
    <t>Incremental Earnings from CFA Charter (After Tax)</t>
  </si>
  <si>
    <t>Present Value of Incremental After-Tax Earnings Boost from CFA Charter</t>
  </si>
  <si>
    <t>CFA Salary Premium Period</t>
  </si>
  <si>
    <t>Linear Tapering Period</t>
  </si>
  <si>
    <t>Tax Table</t>
  </si>
  <si>
    <t>Charter</t>
  </si>
  <si>
    <t>Doozy</t>
  </si>
  <si>
    <t>👈</t>
  </si>
  <si>
    <t>Number of Exam Fails</t>
  </si>
  <si>
    <t>Total Exam Sessions</t>
  </si>
  <si>
    <t>Enrollment Fee</t>
  </si>
  <si>
    <t>once-off</t>
  </si>
  <si>
    <t>Exam Fees</t>
  </si>
  <si>
    <t>per exam</t>
  </si>
  <si>
    <t>Total Direct Cost of CFA Examinations</t>
  </si>
  <si>
    <t>Average Study Time per Exam</t>
  </si>
  <si>
    <t>hours</t>
  </si>
  <si>
    <t>Opportunity Cost of Time (after-tax)</t>
  </si>
  <si>
    <t>per hour</t>
  </si>
  <si>
    <t>Indirect Cost of CFA per Examination</t>
  </si>
  <si>
    <t>Total Indirect Cost of CFA Examinations</t>
  </si>
  <si>
    <t>Cost Calculation</t>
  </si>
  <si>
    <t>Cost Benefit Analysis</t>
  </si>
  <si>
    <t>BENEFITS</t>
  </si>
  <si>
    <t>Direct Benefits</t>
  </si>
  <si>
    <t>Present Value of Incremenental After-Tax Earnings Boost from CFA Charter</t>
  </si>
  <si>
    <t>COSTS</t>
  </si>
  <si>
    <t>Direct Costs</t>
  </si>
  <si>
    <t>Total Direct Cost of CFA Examinations (enrolment and exam fees)</t>
  </si>
  <si>
    <t>Indirect Costs</t>
  </si>
  <si>
    <t>Total Indirect Cost of CFA Examinations (oportunity cost of time studying)</t>
  </si>
  <si>
    <t>NET POSITION</t>
  </si>
  <si>
    <t>Net Present Value of Financial Benefit of CFA Charter</t>
  </si>
  <si>
    <t>Benefit-to-Cost Ratio</t>
  </si>
  <si>
    <t>Internal Rate of Return</t>
  </si>
  <si>
    <t>OTHER CONSIDERATIONS</t>
  </si>
  <si>
    <t>🔻</t>
  </si>
  <si>
    <t>Low pass rates of CFA can make the possibility and timing of achieving the CFA Charter unpredictable</t>
  </si>
  <si>
    <t>Burnout, stress and related impacts can be significant</t>
  </si>
  <si>
    <t>❓</t>
  </si>
  <si>
    <t>Social, economic, and technological changes can improve or reduce the future earnings prospects for CFA charterholders</t>
  </si>
  <si>
    <t>🔺</t>
  </si>
  <si>
    <t>The CFA charter is highly regarded and can enhance professional credibility</t>
  </si>
  <si>
    <t>May open doors to outsized higher-level positions, promotions, and global opportunities not captured in average salary differentials</t>
  </si>
  <si>
    <t>Deepens understanding of finance, investment analysis, and portfolio management may achieve personal growth goals not purely financial</t>
  </si>
  <si>
    <t>IRR Calculaiton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</si>
</sst>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quot;$&quot;#,##0"/>
    <numFmt numFmtId="166" formatCode="_-* #,##0_-;\-* #,##0_-;_-* &quot;-&quot;??_-;_-@_-"/>
    <numFmt numFmtId="167" formatCode="0.0"/>
    <numFmt numFmtId="168" formatCode="0.0%"/>
  </numFmts>
  <fonts count="23" x14ac:knownFonts="1">
    <font>
      <sz val="10"/>
      <color rgb="FF000000"/>
      <name val="Arial"/>
      <scheme val="minor"/>
    </font>
    <font>
      <sz val="10"/>
      <color theme="1"/>
      <name val="Arial"/>
      <family val="2"/>
      <scheme val="minor"/>
    </font>
    <font>
      <b/>
      <sz val="20"/>
      <color theme="1"/>
      <name val="Arial"/>
      <family val="2"/>
      <scheme val="minor"/>
    </font>
    <font>
      <sz val="14"/>
      <color theme="1"/>
      <name val="Arial"/>
      <family val="2"/>
      <scheme val="minor"/>
    </font>
    <font>
      <sz val="10"/>
      <color rgb="FF000000"/>
      <name val="Arial"/>
      <family val="2"/>
      <scheme val="minor"/>
    </font>
    <font>
      <b/>
      <sz val="10"/>
      <color theme="1"/>
      <name val="Arial"/>
      <family val="2"/>
      <scheme val="minor"/>
    </font>
    <font>
      <sz val="9"/>
      <color theme="1"/>
      <name val="Arial"/>
      <family val="2"/>
      <scheme val="minor"/>
    </font>
    <font>
      <sz val="10"/>
      <color rgb="FF000000"/>
      <name val="Arial"/>
      <family val="2"/>
      <scheme val="minor"/>
    </font>
    <font>
      <b/>
      <sz val="10"/>
      <color rgb="FF000000"/>
      <name val="Arial"/>
      <family val="2"/>
      <scheme val="minor"/>
    </font>
    <font>
      <sz val="14"/>
      <color rgb="FF000000"/>
      <name val="Arial"/>
      <family val="2"/>
      <scheme val="minor"/>
    </font>
    <font>
      <b/>
      <sz val="18"/>
      <color rgb="FF000000"/>
      <name val="Arial"/>
      <family val="2"/>
      <scheme val="minor"/>
    </font>
    <font>
      <b/>
      <sz val="18"/>
      <color theme="0"/>
      <name val="Arial"/>
      <family val="2"/>
      <scheme val="minor"/>
    </font>
    <font>
      <b/>
      <sz val="20"/>
      <color theme="1"/>
      <name val="Arial"/>
      <scheme val="minor"/>
    </font>
    <font>
      <sz val="10"/>
      <color theme="1"/>
      <name val="Arial"/>
      <scheme val="minor"/>
    </font>
    <font>
      <i/>
      <sz val="10"/>
      <color theme="1"/>
      <name val="Arial"/>
      <scheme val="minor"/>
    </font>
    <font>
      <sz val="14"/>
      <color theme="1"/>
      <name val="Arial"/>
      <scheme val="minor"/>
    </font>
    <font>
      <b/>
      <sz val="12"/>
      <color theme="1"/>
      <name val="Arial"/>
      <scheme val="minor"/>
    </font>
    <font>
      <sz val="12"/>
      <color theme="1"/>
      <name val="Arial"/>
      <scheme val="minor"/>
    </font>
    <font>
      <i/>
      <sz val="12"/>
      <color theme="1"/>
      <name val="Arial"/>
      <scheme val="minor"/>
    </font>
    <font>
      <sz val="11"/>
      <color theme="1"/>
      <name val="Arial"/>
      <scheme val="minor"/>
    </font>
    <font>
      <i/>
      <sz val="11"/>
      <color theme="1"/>
      <name val="Arial"/>
      <scheme val="minor"/>
    </font>
    <font>
      <b/>
      <sz val="10"/>
      <color theme="1"/>
      <name val="Arial"/>
      <scheme val="minor"/>
    </font>
    <font>
      <b/>
      <i/>
      <sz val="10"/>
      <color theme="1"/>
      <name val="Arial"/>
      <scheme val="minor"/>
    </font>
  </fonts>
  <fills count="8">
    <fill>
      <patternFill patternType="none"/>
    </fill>
    <fill>
      <patternFill patternType="gray125"/>
    </fill>
    <fill>
      <patternFill patternType="solid">
        <fgColor rgb="FFC9DAF8"/>
        <bgColor rgb="FFC9DAF8"/>
      </patternFill>
    </fill>
    <fill>
      <patternFill patternType="solid">
        <fgColor rgb="FFEFEFEF"/>
        <bgColor rgb="FFEFEFEF"/>
      </patternFill>
    </fill>
    <fill>
      <patternFill patternType="solid">
        <fgColor rgb="FFD9D9D9"/>
        <bgColor rgb="FFD9D9D9"/>
      </patternFill>
    </fill>
    <fill>
      <patternFill patternType="solid">
        <fgColor theme="6" tint="0.59999389629810485"/>
        <bgColor indexed="64"/>
      </patternFill>
    </fill>
    <fill>
      <patternFill patternType="solid">
        <fgColor rgb="FF002060"/>
        <bgColor indexed="64"/>
      </patternFill>
    </fill>
    <fill>
      <patternFill patternType="solid">
        <fgColor theme="6" tint="0.79998168889431442"/>
        <bgColor indexed="64"/>
      </patternFill>
    </fill>
  </fills>
  <borders count="13">
    <border>
      <left/>
      <right/>
      <top/>
      <bottom/>
      <diagonal/>
    </border>
    <border>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164" fontId="7" fillId="0" borderId="0" applyFont="0" applyFill="0" applyBorder="0" applyAlignment="0" applyProtection="0"/>
  </cellStyleXfs>
  <cellXfs count="60">
    <xf numFmtId="0" fontId="0" fillId="0" borderId="0" xfId="0"/>
    <xf numFmtId="0" fontId="2" fillId="0" borderId="0" xfId="0" applyFont="1"/>
    <xf numFmtId="0" fontId="1" fillId="0" borderId="0" xfId="0" applyFont="1"/>
    <xf numFmtId="0" fontId="4" fillId="0" borderId="0" xfId="0" applyFont="1"/>
    <xf numFmtId="0" fontId="1" fillId="2" borderId="0" xfId="0" applyFont="1" applyFill="1" applyAlignment="1">
      <alignment vertical="center"/>
    </xf>
    <xf numFmtId="0" fontId="5" fillId="2" borderId="0" xfId="0" applyFont="1" applyFill="1" applyAlignment="1">
      <alignment vertical="center" wrapText="1"/>
    </xf>
    <xf numFmtId="165" fontId="1" fillId="0" borderId="0" xfId="0" applyNumberFormat="1" applyFont="1"/>
    <xf numFmtId="9" fontId="1" fillId="4" borderId="0" xfId="0" applyNumberFormat="1" applyFont="1" applyFill="1"/>
    <xf numFmtId="0" fontId="1" fillId="0" borderId="0" xfId="0" applyFont="1" applyAlignment="1">
      <alignment vertical="center"/>
    </xf>
    <xf numFmtId="0" fontId="1" fillId="3" borderId="0" xfId="0" applyFont="1" applyFill="1"/>
    <xf numFmtId="10" fontId="1" fillId="3" borderId="0" xfId="0" applyNumberFormat="1" applyFont="1" applyFill="1"/>
    <xf numFmtId="165" fontId="1" fillId="3" borderId="0" xfId="0" applyNumberFormat="1" applyFont="1" applyFill="1"/>
    <xf numFmtId="0" fontId="1" fillId="0" borderId="1" xfId="0" applyFont="1" applyBorder="1"/>
    <xf numFmtId="165" fontId="1" fillId="0" borderId="1" xfId="0" applyNumberFormat="1" applyFont="1" applyBorder="1"/>
    <xf numFmtId="0" fontId="3" fillId="0" borderId="0" xfId="0" applyFont="1" applyAlignment="1">
      <alignment vertical="top"/>
    </xf>
    <xf numFmtId="10" fontId="0" fillId="0" borderId="5" xfId="0" applyNumberFormat="1" applyBorder="1"/>
    <xf numFmtId="10" fontId="0" fillId="0" borderId="7" xfId="0" applyNumberFormat="1" applyBorder="1"/>
    <xf numFmtId="0" fontId="0" fillId="0" borderId="8" xfId="0" applyBorder="1"/>
    <xf numFmtId="0" fontId="0" fillId="0" borderId="9" xfId="0" applyBorder="1"/>
    <xf numFmtId="166" fontId="0" fillId="0" borderId="4" xfId="1" applyNumberFormat="1" applyFont="1" applyBorder="1"/>
    <xf numFmtId="166" fontId="0" fillId="0" borderId="6" xfId="1" applyNumberFormat="1" applyFont="1" applyBorder="1"/>
    <xf numFmtId="165" fontId="1" fillId="0" borderId="4" xfId="0" applyNumberFormat="1" applyFont="1" applyBorder="1"/>
    <xf numFmtId="165" fontId="1" fillId="0" borderId="5" xfId="0" applyNumberFormat="1" applyFont="1" applyBorder="1"/>
    <xf numFmtId="165" fontId="1" fillId="0" borderId="6" xfId="0" applyNumberFormat="1" applyFont="1" applyBorder="1"/>
    <xf numFmtId="165" fontId="1" fillId="0" borderId="2" xfId="0" applyNumberFormat="1" applyFont="1" applyBorder="1"/>
    <xf numFmtId="165" fontId="1" fillId="0" borderId="7" xfId="0" applyNumberFormat="1" applyFont="1" applyBorder="1"/>
    <xf numFmtId="165" fontId="6" fillId="0" borderId="0" xfId="0" applyNumberFormat="1" applyFont="1"/>
    <xf numFmtId="165" fontId="6" fillId="0" borderId="2" xfId="0" applyNumberFormat="1" applyFont="1" applyBorder="1"/>
    <xf numFmtId="0" fontId="1" fillId="0" borderId="10" xfId="0" applyFont="1" applyBorder="1"/>
    <xf numFmtId="0" fontId="1" fillId="0" borderId="11" xfId="0" applyFont="1" applyBorder="1"/>
    <xf numFmtId="0" fontId="5" fillId="2" borderId="3" xfId="0" applyFont="1" applyFill="1" applyBorder="1" applyAlignment="1">
      <alignment vertical="center"/>
    </xf>
    <xf numFmtId="0" fontId="5" fillId="2" borderId="8" xfId="0" applyFont="1" applyFill="1" applyBorder="1" applyAlignment="1">
      <alignment vertical="center" wrapText="1"/>
    </xf>
    <xf numFmtId="0" fontId="5" fillId="2" borderId="12" xfId="0" applyFont="1" applyFill="1" applyBorder="1" applyAlignment="1">
      <alignment vertical="center" wrapText="1"/>
    </xf>
    <xf numFmtId="0" fontId="5" fillId="2" borderId="9" xfId="0" applyFont="1" applyFill="1" applyBorder="1" applyAlignment="1">
      <alignment vertical="center" wrapText="1"/>
    </xf>
    <xf numFmtId="0" fontId="5" fillId="0" borderId="0" xfId="0" applyFont="1"/>
    <xf numFmtId="0" fontId="1" fillId="5" borderId="1" xfId="0" applyFont="1" applyFill="1" applyBorder="1"/>
    <xf numFmtId="165" fontId="1" fillId="5" borderId="1" xfId="0" applyNumberFormat="1" applyFont="1" applyFill="1" applyBorder="1"/>
    <xf numFmtId="0" fontId="8" fillId="0" borderId="2" xfId="0" applyFont="1" applyBorder="1" applyAlignment="1">
      <alignment horizontal="center"/>
    </xf>
    <xf numFmtId="0" fontId="9" fillId="0" borderId="0" xfId="0" applyFont="1"/>
    <xf numFmtId="0" fontId="10" fillId="0" borderId="0" xfId="0" applyFont="1" applyAlignment="1">
      <alignment horizontal="right"/>
    </xf>
    <xf numFmtId="0" fontId="11" fillId="6" borderId="0" xfId="0" applyFont="1" applyFill="1"/>
    <xf numFmtId="0" fontId="12" fillId="0" borderId="0" xfId="0" applyFont="1"/>
    <xf numFmtId="0" fontId="13" fillId="0" borderId="0" xfId="0" applyFont="1" applyAlignment="1">
      <alignment horizontal="left"/>
    </xf>
    <xf numFmtId="0" fontId="14" fillId="0" borderId="0" xfId="0" applyFont="1"/>
    <xf numFmtId="0" fontId="15" fillId="0" borderId="0" xfId="0" applyFont="1"/>
    <xf numFmtId="0" fontId="16" fillId="2" borderId="0" xfId="0" applyFont="1" applyFill="1"/>
    <xf numFmtId="0" fontId="17" fillId="2" borderId="0" xfId="0" applyFont="1" applyFill="1" applyAlignment="1">
      <alignment horizontal="left"/>
    </xf>
    <xf numFmtId="0" fontId="18" fillId="2" borderId="0" xfId="0" applyFont="1" applyFill="1"/>
    <xf numFmtId="0" fontId="19" fillId="3" borderId="0" xfId="0" applyFont="1" applyFill="1"/>
    <xf numFmtId="0" fontId="20" fillId="3" borderId="0" xfId="0" applyFont="1" applyFill="1" applyAlignment="1">
      <alignment horizontal="left"/>
    </xf>
    <xf numFmtId="0" fontId="20" fillId="3" borderId="0" xfId="0" applyFont="1" applyFill="1"/>
    <xf numFmtId="0" fontId="13" fillId="0" borderId="0" xfId="0" applyFont="1"/>
    <xf numFmtId="165" fontId="13" fillId="0" borderId="0" xfId="0" applyNumberFormat="1" applyFont="1" applyAlignment="1">
      <alignment horizontal="left"/>
    </xf>
    <xf numFmtId="0" fontId="21" fillId="0" borderId="0" xfId="0" applyFont="1"/>
    <xf numFmtId="165" fontId="21" fillId="0" borderId="0" xfId="0" applyNumberFormat="1" applyFont="1" applyAlignment="1">
      <alignment horizontal="left"/>
    </xf>
    <xf numFmtId="0" fontId="22" fillId="0" borderId="0" xfId="0" applyFont="1"/>
    <xf numFmtId="167" fontId="21" fillId="0" borderId="0" xfId="0" applyNumberFormat="1" applyFont="1" applyAlignment="1">
      <alignment horizontal="left"/>
    </xf>
    <xf numFmtId="168" fontId="21" fillId="0" borderId="0" xfId="0" applyNumberFormat="1" applyFont="1" applyAlignment="1">
      <alignment horizontal="left"/>
    </xf>
    <xf numFmtId="9" fontId="0" fillId="7" borderId="0" xfId="0" applyNumberFormat="1" applyFill="1"/>
    <xf numFmtId="165"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ysClr val="windowText" lastClr="000000"/>
                </a:solidFill>
                <a:latin typeface="+mn-lt"/>
              </a:defRPr>
            </a:pPr>
            <a:r>
              <a:rPr lang="en-ZA" b="1">
                <a:solidFill>
                  <a:sysClr val="windowText" lastClr="000000"/>
                </a:solidFill>
                <a:latin typeface="+mn-lt"/>
              </a:rPr>
              <a:t>Projected Salary Differential from CFA Charter</a:t>
            </a:r>
          </a:p>
        </c:rich>
      </c:tx>
      <c:overlay val="0"/>
    </c:title>
    <c:autoTitleDeleted val="0"/>
    <c:plotArea>
      <c:layout/>
      <c:lineChart>
        <c:grouping val="standard"/>
        <c:varyColors val="1"/>
        <c:ser>
          <c:idx val="0"/>
          <c:order val="0"/>
          <c:tx>
            <c:strRef>
              <c:f>'Earnings NPV'!$I$3</c:f>
              <c:strCache>
                <c:ptCount val="1"/>
                <c:pt idx="0">
                  <c:v>Average Salary without CFA Charter(Before Tax)</c:v>
                </c:pt>
              </c:strCache>
            </c:strRef>
          </c:tx>
          <c:spPr>
            <a:ln cmpd="sng">
              <a:solidFill>
                <a:srgbClr val="4285F4"/>
              </a:solidFill>
            </a:ln>
          </c:spPr>
          <c:marker>
            <c:symbol val="none"/>
          </c:marker>
          <c:cat>
            <c:numRef>
              <c:f>'Earnings NPV'!$G$5:$G$63</c:f>
              <c:numCache>
                <c:formatCode>General</c:formatCode>
                <c:ptCount val="5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numCache>
            </c:numRef>
          </c:cat>
          <c:val>
            <c:numRef>
              <c:f>'Earnings NPV'!$I$4:$I$43</c:f>
              <c:numCache>
                <c:formatCode>"$"#,##0</c:formatCode>
                <c:ptCount val="40"/>
                <c:pt idx="0">
                  <c:v>114649.68152866243</c:v>
                </c:pt>
                <c:pt idx="1">
                  <c:v>119923.56687898091</c:v>
                </c:pt>
                <c:pt idx="2">
                  <c:v>125440.05095541403</c:v>
                </c:pt>
                <c:pt idx="3">
                  <c:v>131210.29329936308</c:v>
                </c:pt>
                <c:pt idx="4">
                  <c:v>137245.9667911338</c:v>
                </c:pt>
                <c:pt idx="5">
                  <c:v>143559.28126352595</c:v>
                </c:pt>
                <c:pt idx="6">
                  <c:v>150163.00820164816</c:v>
                </c:pt>
                <c:pt idx="7">
                  <c:v>157070.50657892399</c:v>
                </c:pt>
                <c:pt idx="8">
                  <c:v>164295.74988155448</c:v>
                </c:pt>
                <c:pt idx="9">
                  <c:v>171853.354376106</c:v>
                </c:pt>
                <c:pt idx="10">
                  <c:v>179758.60867740688</c:v>
                </c:pt>
                <c:pt idx="11">
                  <c:v>209462.64020969631</c:v>
                </c:pt>
                <c:pt idx="12">
                  <c:v>241519.07342699496</c:v>
                </c:pt>
                <c:pt idx="13">
                  <c:v>276081.47555360134</c:v>
                </c:pt>
                <c:pt idx="14">
                  <c:v>313312.56431648403</c:v>
                </c:pt>
                <c:pt idx="15">
                  <c:v>353384.72484328056</c:v>
                </c:pt>
                <c:pt idx="16">
                  <c:v>369640.42218607146</c:v>
                </c:pt>
                <c:pt idx="17">
                  <c:v>386643.88160663081</c:v>
                </c:pt>
                <c:pt idx="18">
                  <c:v>404429.5001605358</c:v>
                </c:pt>
                <c:pt idx="19">
                  <c:v>423033.25716792047</c:v>
                </c:pt>
                <c:pt idx="20">
                  <c:v>442492.78699764481</c:v>
                </c:pt>
                <c:pt idx="21">
                  <c:v>462847.45519953652</c:v>
                </c:pt>
                <c:pt idx="22">
                  <c:v>484138.43813871522</c:v>
                </c:pt>
                <c:pt idx="23">
                  <c:v>506408.8062930961</c:v>
                </c:pt>
                <c:pt idx="24">
                  <c:v>529703.61138257862</c:v>
                </c:pt>
                <c:pt idx="25">
                  <c:v>554069.97750617715</c:v>
                </c:pt>
                <c:pt idx="26">
                  <c:v>579557.19647146133</c:v>
                </c:pt>
                <c:pt idx="27">
                  <c:v>606216.82750914874</c:v>
                </c:pt>
                <c:pt idx="28">
                  <c:v>634102.80157456943</c:v>
                </c:pt>
                <c:pt idx="29">
                  <c:v>663271.53044699971</c:v>
                </c:pt>
                <c:pt idx="30">
                  <c:v>693782.02084756165</c:v>
                </c:pt>
                <c:pt idx="31">
                  <c:v>725695.9938065497</c:v>
                </c:pt>
                <c:pt idx="32">
                  <c:v>759078.00952165085</c:v>
                </c:pt>
                <c:pt idx="33">
                  <c:v>793995.59795964684</c:v>
                </c:pt>
                <c:pt idx="34">
                  <c:v>830519.39546579053</c:v>
                </c:pt>
                <c:pt idx="35">
                  <c:v>868723.28765721701</c:v>
                </c:pt>
                <c:pt idx="36">
                  <c:v>908684.55888944911</c:v>
                </c:pt>
                <c:pt idx="37">
                  <c:v>950484.04859836365</c:v>
                </c:pt>
                <c:pt idx="38">
                  <c:v>994206.31483388867</c:v>
                </c:pt>
                <c:pt idx="39">
                  <c:v>1039939.8053162474</c:v>
                </c:pt>
              </c:numCache>
            </c:numRef>
          </c:val>
          <c:smooth val="1"/>
          <c:extLst>
            <c:ext xmlns:c16="http://schemas.microsoft.com/office/drawing/2014/chart" uri="{C3380CC4-5D6E-409C-BE32-E72D297353CC}">
              <c16:uniqueId val="{00000000-1D94-4E9C-B0E1-459B3EC1A960}"/>
            </c:ext>
          </c:extLst>
        </c:ser>
        <c:ser>
          <c:idx val="1"/>
          <c:order val="1"/>
          <c:tx>
            <c:strRef>
              <c:f>'Earnings NPV'!$J$3</c:f>
              <c:strCache>
                <c:ptCount val="1"/>
                <c:pt idx="0">
                  <c:v>Average Salary with CFA Charter (Before Tax)</c:v>
                </c:pt>
              </c:strCache>
            </c:strRef>
          </c:tx>
          <c:spPr>
            <a:ln cmpd="sng">
              <a:solidFill>
                <a:srgbClr val="EA4335"/>
              </a:solidFill>
            </a:ln>
          </c:spPr>
          <c:marker>
            <c:symbol val="none"/>
          </c:marker>
          <c:cat>
            <c:numRef>
              <c:f>'Earnings NPV'!$G$5:$G$63</c:f>
              <c:numCache>
                <c:formatCode>General</c:formatCode>
                <c:ptCount val="5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numCache>
            </c:numRef>
          </c:cat>
          <c:val>
            <c:numRef>
              <c:f>'Earnings NPV'!$J$4:$J$43</c:f>
              <c:numCache>
                <c:formatCode>"$"#,##0</c:formatCode>
                <c:ptCount val="40"/>
                <c:pt idx="0">
                  <c:v>180000</c:v>
                </c:pt>
                <c:pt idx="1">
                  <c:v>188280</c:v>
                </c:pt>
                <c:pt idx="2">
                  <c:v>196940.88</c:v>
                </c:pt>
                <c:pt idx="3">
                  <c:v>206000.16048000005</c:v>
                </c:pt>
                <c:pt idx="4">
                  <c:v>215476.16786208004</c:v>
                </c:pt>
                <c:pt idx="5">
                  <c:v>225388.07158373573</c:v>
                </c:pt>
                <c:pt idx="6">
                  <c:v>235755.92287658757</c:v>
                </c:pt>
                <c:pt idx="7">
                  <c:v>246600.69532891063</c:v>
                </c:pt>
                <c:pt idx="8">
                  <c:v>257944.32731404051</c:v>
                </c:pt>
                <c:pt idx="9">
                  <c:v>269809.76637048635</c:v>
                </c:pt>
                <c:pt idx="10">
                  <c:v>282221.01562352874</c:v>
                </c:pt>
                <c:pt idx="11">
                  <c:v>295203.18234221113</c:v>
                </c:pt>
                <c:pt idx="12">
                  <c:v>308782.52872995281</c:v>
                </c:pt>
                <c:pt idx="13">
                  <c:v>322986.52505153063</c:v>
                </c:pt>
                <c:pt idx="14">
                  <c:v>337843.90520390106</c:v>
                </c:pt>
                <c:pt idx="15">
                  <c:v>353384.72484328056</c:v>
                </c:pt>
                <c:pt idx="16">
                  <c:v>369640.42218607146</c:v>
                </c:pt>
                <c:pt idx="17">
                  <c:v>386643.88160663081</c:v>
                </c:pt>
                <c:pt idx="18">
                  <c:v>404429.5001605358</c:v>
                </c:pt>
                <c:pt idx="19">
                  <c:v>423033.25716792047</c:v>
                </c:pt>
                <c:pt idx="20">
                  <c:v>442492.78699764481</c:v>
                </c:pt>
                <c:pt idx="21">
                  <c:v>462847.45519953652</c:v>
                </c:pt>
                <c:pt idx="22">
                  <c:v>484138.43813871522</c:v>
                </c:pt>
                <c:pt idx="23">
                  <c:v>506408.8062930961</c:v>
                </c:pt>
                <c:pt idx="24">
                  <c:v>529703.61138257862</c:v>
                </c:pt>
                <c:pt idx="25">
                  <c:v>554069.97750617715</c:v>
                </c:pt>
                <c:pt idx="26">
                  <c:v>579557.19647146133</c:v>
                </c:pt>
                <c:pt idx="27">
                  <c:v>606216.82750914874</c:v>
                </c:pt>
                <c:pt idx="28">
                  <c:v>634102.80157456943</c:v>
                </c:pt>
                <c:pt idx="29">
                  <c:v>663271.53044699971</c:v>
                </c:pt>
                <c:pt idx="30">
                  <c:v>693782.02084756165</c:v>
                </c:pt>
                <c:pt idx="31">
                  <c:v>725695.9938065497</c:v>
                </c:pt>
                <c:pt idx="32">
                  <c:v>759078.00952165085</c:v>
                </c:pt>
                <c:pt idx="33">
                  <c:v>793995.59795964684</c:v>
                </c:pt>
                <c:pt idx="34">
                  <c:v>830519.39546579053</c:v>
                </c:pt>
                <c:pt idx="35">
                  <c:v>868723.28765721701</c:v>
                </c:pt>
                <c:pt idx="36">
                  <c:v>908684.55888944911</c:v>
                </c:pt>
                <c:pt idx="37">
                  <c:v>950484.04859836365</c:v>
                </c:pt>
                <c:pt idx="38">
                  <c:v>994206.31483388867</c:v>
                </c:pt>
                <c:pt idx="39">
                  <c:v>1039939.8053162474</c:v>
                </c:pt>
              </c:numCache>
            </c:numRef>
          </c:val>
          <c:smooth val="1"/>
          <c:extLst>
            <c:ext xmlns:c16="http://schemas.microsoft.com/office/drawing/2014/chart" uri="{C3380CC4-5D6E-409C-BE32-E72D297353CC}">
              <c16:uniqueId val="{00000001-1D94-4E9C-B0E1-459B3EC1A960}"/>
            </c:ext>
          </c:extLst>
        </c:ser>
        <c:dLbls>
          <c:showLegendKey val="0"/>
          <c:showVal val="0"/>
          <c:showCatName val="0"/>
          <c:showSerName val="0"/>
          <c:showPercent val="0"/>
          <c:showBubbleSize val="0"/>
        </c:dLbls>
        <c:smooth val="0"/>
        <c:axId val="692630126"/>
        <c:axId val="498615257"/>
      </c:lineChart>
      <c:catAx>
        <c:axId val="692630126"/>
        <c:scaling>
          <c:orientation val="minMax"/>
        </c:scaling>
        <c:delete val="0"/>
        <c:axPos val="b"/>
        <c:title>
          <c:tx>
            <c:rich>
              <a:bodyPr/>
              <a:lstStyle/>
              <a:p>
                <a:pPr lvl="0">
                  <a:defRPr b="0">
                    <a:solidFill>
                      <a:srgbClr val="000000"/>
                    </a:solidFill>
                    <a:latin typeface="+mn-lt"/>
                  </a:defRPr>
                </a:pPr>
                <a:endParaRPr lang="en-ZA"/>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98615257"/>
        <c:crosses val="autoZero"/>
        <c:auto val="1"/>
        <c:lblAlgn val="ctr"/>
        <c:lblOffset val="100"/>
        <c:noMultiLvlLbl val="1"/>
      </c:catAx>
      <c:valAx>
        <c:axId val="49861525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ZA"/>
              </a:p>
            </c:rich>
          </c:tx>
          <c:overlay val="0"/>
        </c:title>
        <c:numFmt formatCode="&quot;$&quot;#,##0" sourceLinked="1"/>
        <c:majorTickMark val="none"/>
        <c:minorTickMark val="none"/>
        <c:tickLblPos val="nextTo"/>
        <c:spPr>
          <a:ln/>
        </c:spPr>
        <c:txPr>
          <a:bodyPr/>
          <a:lstStyle/>
          <a:p>
            <a:pPr lvl="0">
              <a:defRPr b="0">
                <a:solidFill>
                  <a:srgbClr val="000000"/>
                </a:solidFill>
                <a:latin typeface="+mn-lt"/>
              </a:defRPr>
            </a:pPr>
            <a:endParaRPr lang="en-US"/>
          </a:p>
        </c:txPr>
        <c:crossAx val="692630126"/>
        <c:crosses val="autoZero"/>
        <c:crossBetween val="between"/>
      </c:valAx>
    </c:plotArea>
    <c:legend>
      <c:legendPos val="b"/>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https://charterdoozy.com/"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s://charterdoozy.com/"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hyperlink" Target="https://charterdoozy.com/" TargetMode="External"/></Relationships>
</file>

<file path=xl/drawings/drawing1.xml><?xml version="1.0" encoding="utf-8"?>
<xdr:wsDr xmlns:xdr="http://schemas.openxmlformats.org/drawingml/2006/spreadsheetDrawing" xmlns:a="http://schemas.openxmlformats.org/drawingml/2006/main">
  <xdr:twoCellAnchor>
    <xdr:from>
      <xdr:col>3</xdr:col>
      <xdr:colOff>5880</xdr:colOff>
      <xdr:row>0</xdr:row>
      <xdr:rowOff>94073</xdr:rowOff>
    </xdr:from>
    <xdr:to>
      <xdr:col>5</xdr:col>
      <xdr:colOff>0</xdr:colOff>
      <xdr:row>2</xdr:row>
      <xdr:rowOff>88192</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7266D7C-B697-4FD8-832A-ADFA71FAEA9E}"/>
            </a:ext>
          </a:extLst>
        </xdr:cNvPr>
        <xdr:cNvSpPr/>
      </xdr:nvSpPr>
      <xdr:spPr>
        <a:xfrm flipV="1">
          <a:off x="5193830" y="94073"/>
          <a:ext cx="1810220" cy="5084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twoCellAnchor>
    <xdr:from>
      <xdr:col>2</xdr:col>
      <xdr:colOff>6350000</xdr:colOff>
      <xdr:row>0</xdr:row>
      <xdr:rowOff>88900</xdr:rowOff>
    </xdr:from>
    <xdr:to>
      <xdr:col>5</xdr:col>
      <xdr:colOff>299626</xdr:colOff>
      <xdr:row>2</xdr:row>
      <xdr:rowOff>118297</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8935D60D-D8A4-4A3F-9682-BCD53623398C}"/>
            </a:ext>
          </a:extLst>
        </xdr:cNvPr>
        <xdr:cNvSpPr/>
      </xdr:nvSpPr>
      <xdr:spPr>
        <a:xfrm flipV="1">
          <a:off x="7423150" y="88900"/>
          <a:ext cx="1810926" cy="50564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601980</xdr:colOff>
      <xdr:row>23</xdr:row>
      <xdr:rowOff>0</xdr:rowOff>
    </xdr:from>
    <xdr:ext cx="6467475" cy="3528060"/>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2</xdr:col>
      <xdr:colOff>5880</xdr:colOff>
      <xdr:row>0</xdr:row>
      <xdr:rowOff>94072</xdr:rowOff>
    </xdr:from>
    <xdr:to>
      <xdr:col>5</xdr:col>
      <xdr:colOff>223426</xdr:colOff>
      <xdr:row>2</xdr:row>
      <xdr:rowOff>88191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D4702E67-7F3B-19B1-C106-4B0A9904F912}"/>
            </a:ext>
          </a:extLst>
        </xdr:cNvPr>
        <xdr:cNvSpPr/>
      </xdr:nvSpPr>
      <xdr:spPr>
        <a:xfrm flipV="1">
          <a:off x="5191713" y="94072"/>
          <a:ext cx="2287176" cy="50564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164630</xdr:colOff>
      <xdr:row>0</xdr:row>
      <xdr:rowOff>94072</xdr:rowOff>
    </xdr:from>
    <xdr:to>
      <xdr:col>5</xdr:col>
      <xdr:colOff>382176</xdr:colOff>
      <xdr:row>2</xdr:row>
      <xdr:rowOff>88191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AA6406B6-1E8C-475E-895B-BD644EA6FC8F}"/>
            </a:ext>
          </a:extLst>
        </xdr:cNvPr>
        <xdr:cNvSpPr/>
      </xdr:nvSpPr>
      <xdr:spPr>
        <a:xfrm flipV="1">
          <a:off x="3091980" y="94072"/>
          <a:ext cx="2173346" cy="4703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ZA"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153D9-17E1-4584-919F-4BD7AD72AEF3}">
  <dimension ref="B2:F32"/>
  <sheetViews>
    <sheetView showGridLines="0" tabSelected="1" workbookViewId="0">
      <selection activeCell="D22" sqref="D22"/>
    </sheetView>
  </sheetViews>
  <sheetFormatPr defaultRowHeight="12.5" x14ac:dyDescent="0.25"/>
  <cols>
    <col min="2" max="2" width="6.6328125" customWidth="1"/>
    <col min="3" max="3" width="90.453125" customWidth="1"/>
    <col min="4" max="4" width="9.90625" bestFit="1" customWidth="1"/>
    <col min="5" max="5" width="12.36328125" customWidth="1"/>
  </cols>
  <sheetData>
    <row r="2" spans="2:6" ht="25" x14ac:dyDescent="0.5">
      <c r="B2" s="41" t="s">
        <v>47</v>
      </c>
      <c r="C2" s="42"/>
      <c r="D2" s="39" t="s">
        <v>30</v>
      </c>
      <c r="E2" s="40" t="s">
        <v>31</v>
      </c>
      <c r="F2" s="38" t="s">
        <v>32</v>
      </c>
    </row>
    <row r="3" spans="2:6" ht="17.5" x14ac:dyDescent="0.35">
      <c r="B3" s="44" t="s">
        <v>0</v>
      </c>
      <c r="C3" s="42"/>
      <c r="D3" s="42"/>
      <c r="E3" s="43"/>
    </row>
    <row r="4" spans="2:6" ht="13" x14ac:dyDescent="0.3">
      <c r="C4" s="42"/>
      <c r="D4" s="42"/>
      <c r="E4" s="43"/>
    </row>
    <row r="6" spans="2:6" ht="15.5" x14ac:dyDescent="0.35">
      <c r="B6" s="45" t="s">
        <v>48</v>
      </c>
      <c r="C6" s="46"/>
      <c r="D6" s="46"/>
      <c r="E6" s="47"/>
    </row>
    <row r="7" spans="2:6" ht="14.5" x14ac:dyDescent="0.35">
      <c r="B7" s="48" t="s">
        <v>49</v>
      </c>
      <c r="C7" s="48"/>
      <c r="D7" s="49"/>
      <c r="E7" s="50"/>
    </row>
    <row r="8" spans="2:6" ht="13" x14ac:dyDescent="0.3">
      <c r="C8" s="51" t="s">
        <v>50</v>
      </c>
      <c r="D8" s="52">
        <f>'Earnings NPV'!C22</f>
        <v>613490.8205534101</v>
      </c>
      <c r="E8" s="43"/>
    </row>
    <row r="10" spans="2:6" ht="15.5" x14ac:dyDescent="0.35">
      <c r="B10" s="45" t="s">
        <v>51</v>
      </c>
      <c r="C10" s="45"/>
      <c r="D10" s="46"/>
      <c r="E10" s="47"/>
    </row>
    <row r="11" spans="2:6" ht="14.5" x14ac:dyDescent="0.35">
      <c r="B11" s="48" t="s">
        <v>52</v>
      </c>
      <c r="C11" s="48"/>
      <c r="D11" s="49"/>
      <c r="E11" s="50"/>
    </row>
    <row r="12" spans="2:6" ht="13" x14ac:dyDescent="0.3">
      <c r="C12" s="51" t="s">
        <v>53</v>
      </c>
      <c r="D12" s="52">
        <f>'Cost Calc'!C9</f>
        <v>5350</v>
      </c>
      <c r="E12" s="43"/>
    </row>
    <row r="13" spans="2:6" ht="13" x14ac:dyDescent="0.3">
      <c r="D13" s="42"/>
      <c r="E13" s="43"/>
    </row>
    <row r="14" spans="2:6" ht="14.5" x14ac:dyDescent="0.35">
      <c r="B14" s="48" t="s">
        <v>54</v>
      </c>
      <c r="C14" s="48"/>
      <c r="D14" s="49"/>
      <c r="E14" s="50"/>
    </row>
    <row r="15" spans="2:6" ht="13" x14ac:dyDescent="0.3">
      <c r="C15" s="51" t="s">
        <v>55</v>
      </c>
      <c r="D15" s="52">
        <f>'Cost Calc'!C15</f>
        <v>56222.439980401774</v>
      </c>
      <c r="E15" s="43"/>
    </row>
    <row r="16" spans="2:6" ht="13" x14ac:dyDescent="0.3">
      <c r="D16" s="42"/>
      <c r="E16" s="43"/>
    </row>
    <row r="17" spans="2:5" ht="15.5" x14ac:dyDescent="0.35">
      <c r="B17" s="45" t="s">
        <v>56</v>
      </c>
      <c r="C17" s="45"/>
      <c r="D17" s="46"/>
      <c r="E17" s="47"/>
    </row>
    <row r="18" spans="2:5" ht="13" x14ac:dyDescent="0.3">
      <c r="B18" s="53"/>
      <c r="C18" s="53" t="s">
        <v>57</v>
      </c>
      <c r="D18" s="54">
        <f>D8-D12-D15</f>
        <v>551918.38057300833</v>
      </c>
      <c r="E18" s="55"/>
    </row>
    <row r="19" spans="2:5" ht="13" x14ac:dyDescent="0.3">
      <c r="D19" s="42"/>
      <c r="E19" s="43"/>
    </row>
    <row r="20" spans="2:5" ht="13" x14ac:dyDescent="0.3">
      <c r="B20" s="53"/>
      <c r="C20" s="53" t="s">
        <v>58</v>
      </c>
      <c r="D20" s="56">
        <f>D8/(D12+D15)</f>
        <v>9.9637243667569688</v>
      </c>
      <c r="E20" s="43"/>
    </row>
    <row r="21" spans="2:5" ht="13" x14ac:dyDescent="0.3">
      <c r="B21" s="53"/>
      <c r="C21" s="53" t="s">
        <v>59</v>
      </c>
      <c r="D21" s="57">
        <f>'Earnings NPV'!Q4</f>
        <v>1.0946949549905511</v>
      </c>
      <c r="E21" s="43"/>
    </row>
    <row r="22" spans="2:5" ht="13" x14ac:dyDescent="0.3">
      <c r="C22" s="42"/>
      <c r="D22" s="42"/>
      <c r="E22" s="43"/>
    </row>
    <row r="25" spans="2:5" ht="15.5" x14ac:dyDescent="0.35">
      <c r="B25" s="45" t="s">
        <v>60</v>
      </c>
      <c r="C25" s="46"/>
      <c r="D25" s="46"/>
      <c r="E25" s="47"/>
    </row>
    <row r="26" spans="2:5" ht="13" x14ac:dyDescent="0.3">
      <c r="B26" s="51" t="s">
        <v>61</v>
      </c>
      <c r="C26" s="51" t="s">
        <v>62</v>
      </c>
      <c r="D26" s="42"/>
      <c r="E26" s="43"/>
    </row>
    <row r="27" spans="2:5" ht="13" x14ac:dyDescent="0.3">
      <c r="B27" s="51" t="s">
        <v>61</v>
      </c>
      <c r="C27" s="42" t="s">
        <v>63</v>
      </c>
      <c r="D27" s="42"/>
      <c r="E27" s="43"/>
    </row>
    <row r="28" spans="2:5" ht="13" x14ac:dyDescent="0.3">
      <c r="B28" s="51" t="s">
        <v>64</v>
      </c>
      <c r="C28" s="42" t="s">
        <v>65</v>
      </c>
      <c r="D28" s="42"/>
      <c r="E28" s="43"/>
    </row>
    <row r="29" spans="2:5" ht="13" x14ac:dyDescent="0.3">
      <c r="B29" s="51" t="s">
        <v>66</v>
      </c>
      <c r="C29" s="42" t="s">
        <v>67</v>
      </c>
      <c r="D29" s="42"/>
      <c r="E29" s="43"/>
    </row>
    <row r="30" spans="2:5" ht="13" x14ac:dyDescent="0.3">
      <c r="B30" s="51" t="s">
        <v>66</v>
      </c>
      <c r="C30" s="42" t="s">
        <v>68</v>
      </c>
      <c r="D30" s="42"/>
      <c r="E30" s="43"/>
    </row>
    <row r="31" spans="2:5" ht="13" x14ac:dyDescent="0.3">
      <c r="B31" s="51" t="s">
        <v>66</v>
      </c>
      <c r="C31" s="42" t="s">
        <v>69</v>
      </c>
      <c r="D31" s="42"/>
      <c r="E31" s="43"/>
    </row>
    <row r="32" spans="2:5" ht="13" x14ac:dyDescent="0.3">
      <c r="C32" s="42"/>
      <c r="D32" s="42"/>
      <c r="E32" s="4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Y67"/>
  <sheetViews>
    <sheetView showGridLines="0" zoomScale="108" workbookViewId="0">
      <selection activeCell="Q5" sqref="Q5"/>
    </sheetView>
  </sheetViews>
  <sheetFormatPr defaultColWidth="12.6328125" defaultRowHeight="15.75" customHeight="1" x14ac:dyDescent="0.25"/>
  <cols>
    <col min="2" max="2" width="61.6328125" customWidth="1"/>
    <col min="3" max="3" width="12.81640625" customWidth="1"/>
    <col min="4" max="4" width="13.1796875" customWidth="1"/>
    <col min="5" max="5" width="3.6328125" customWidth="1"/>
    <col min="7" max="7" width="2.81640625" customWidth="1"/>
    <col min="8" max="8" width="5" bestFit="1" customWidth="1"/>
    <col min="9" max="14" width="14.90625" customWidth="1"/>
    <col min="15" max="15" width="2.81640625" customWidth="1"/>
    <col min="16" max="16" width="11.453125" hidden="1" customWidth="1"/>
  </cols>
  <sheetData>
    <row r="2" spans="1:25" ht="25" x14ac:dyDescent="0.5">
      <c r="B2" s="1" t="s">
        <v>1</v>
      </c>
      <c r="C2" s="39" t="s">
        <v>30</v>
      </c>
      <c r="D2" s="40" t="s">
        <v>31</v>
      </c>
      <c r="E2" s="38" t="s">
        <v>32</v>
      </c>
    </row>
    <row r="3" spans="1:25" ht="52" x14ac:dyDescent="0.25">
      <c r="B3" s="14" t="s">
        <v>0</v>
      </c>
      <c r="G3" s="4"/>
      <c r="H3" s="30" t="s">
        <v>2</v>
      </c>
      <c r="I3" s="31" t="s">
        <v>20</v>
      </c>
      <c r="J3" s="32" t="s">
        <v>21</v>
      </c>
      <c r="K3" s="33" t="s">
        <v>22</v>
      </c>
      <c r="L3" s="31" t="s">
        <v>23</v>
      </c>
      <c r="M3" s="32" t="s">
        <v>24</v>
      </c>
      <c r="N3" s="33" t="s">
        <v>25</v>
      </c>
      <c r="P3" s="5" t="s">
        <v>3</v>
      </c>
      <c r="Q3" s="33" t="s">
        <v>70</v>
      </c>
    </row>
    <row r="4" spans="1:25" ht="13" x14ac:dyDescent="0.3">
      <c r="B4" s="34" t="s">
        <v>15</v>
      </c>
      <c r="G4" s="2">
        <v>0</v>
      </c>
      <c r="H4" s="28">
        <v>1</v>
      </c>
      <c r="I4" s="21">
        <f t="shared" ref="I4:I35" si="0">IF(G4&gt;$C$8,NA(),IF(G4&gt;=($C$18+$C$19),J4,IF(G4&gt;=$C$18,$C$14*(1+$C$11)^G4+(J4-$C$14*(1+$C$11)^G4)*((G4-$C$18)/$C$19),$C$14*(1+$C$11)^G4)))</f>
        <v>114649.68152866243</v>
      </c>
      <c r="J4" s="26">
        <f t="shared" ref="J4:J35" si="1">IF(G4&gt;$C$8,NA(),$C$16*(1+$C$11)^G4)</f>
        <v>180000</v>
      </c>
      <c r="K4" s="22">
        <f t="shared" ref="K4:K35" si="2">IF(G4&gt;$C$8,"",J4-I4)</f>
        <v>65350.318471337567</v>
      </c>
      <c r="L4" s="21">
        <f t="shared" ref="L4:L35" si="3">IF(G4&gt;$C$8,NA(),I4*(1-VLOOKUP(I4,$C$47:$D$67,2,TRUE)))</f>
        <v>95101.910828025488</v>
      </c>
      <c r="M4" s="6">
        <f t="shared" ref="M4:M35" si="4">IF(G4&gt;$C$8,NA(),J4*(1-VLOOKUP(J4,$C$47:$D$67,2,TRUE)))</f>
        <v>149310</v>
      </c>
      <c r="N4" s="22">
        <f>IF(G4&gt;$C$8,"",M4-L4)</f>
        <v>54208.089171974512</v>
      </c>
      <c r="P4" s="7" t="e">
        <f>IRR(P5:P44)</f>
        <v>#VALUE!</v>
      </c>
      <c r="Q4" s="58">
        <f>IRR(Q5:Q63)</f>
        <v>1.0946949549905511</v>
      </c>
    </row>
    <row r="5" spans="1:25" ht="12.5" x14ac:dyDescent="0.25">
      <c r="A5" s="8"/>
      <c r="F5" s="8"/>
      <c r="G5" s="2">
        <f t="shared" ref="G5:G63" si="5">G4+1</f>
        <v>1</v>
      </c>
      <c r="H5" s="28">
        <f t="shared" ref="H5:H63" si="6">IF(G5&gt;$C$8,"",H4+1)</f>
        <v>2</v>
      </c>
      <c r="I5" s="21">
        <f t="shared" si="0"/>
        <v>119923.56687898091</v>
      </c>
      <c r="J5" s="26">
        <f t="shared" si="1"/>
        <v>188280</v>
      </c>
      <c r="K5" s="22">
        <f t="shared" si="2"/>
        <v>68356.433121019087</v>
      </c>
      <c r="L5" s="21">
        <f t="shared" si="3"/>
        <v>99476.598726114666</v>
      </c>
      <c r="M5" s="6">
        <f t="shared" si="4"/>
        <v>156178.26</v>
      </c>
      <c r="N5" s="22">
        <f t="shared" ref="N5:N63" si="7">IF(G5&gt;$C$8,"",M5-L5)</f>
        <v>56701.661273885344</v>
      </c>
      <c r="O5" s="8"/>
      <c r="P5" s="6" t="e">
        <f>-#REF!-#REF!</f>
        <v>#REF!</v>
      </c>
      <c r="Q5" s="6">
        <f>'Cost Calc'!C9-'Cost Calc'!C15</f>
        <v>-50872.439980401774</v>
      </c>
      <c r="R5" s="8"/>
      <c r="S5" s="8"/>
      <c r="T5" s="8"/>
      <c r="U5" s="8"/>
      <c r="V5" s="8"/>
      <c r="W5" s="8"/>
      <c r="X5" s="8"/>
      <c r="Y5" s="8"/>
    </row>
    <row r="6" spans="1:25" ht="12.5" x14ac:dyDescent="0.25">
      <c r="B6" s="2" t="s">
        <v>4</v>
      </c>
      <c r="C6" s="9">
        <v>26</v>
      </c>
      <c r="D6" s="2" t="s">
        <v>5</v>
      </c>
      <c r="E6" s="2" t="s">
        <v>6</v>
      </c>
      <c r="G6" s="2">
        <f t="shared" si="5"/>
        <v>2</v>
      </c>
      <c r="H6" s="28">
        <f t="shared" si="6"/>
        <v>3</v>
      </c>
      <c r="I6" s="21">
        <f t="shared" si="0"/>
        <v>125440.05095541403</v>
      </c>
      <c r="J6" s="26">
        <f t="shared" si="1"/>
        <v>196940.88</v>
      </c>
      <c r="K6" s="22">
        <f t="shared" si="2"/>
        <v>71500.829044585975</v>
      </c>
      <c r="L6" s="21">
        <f t="shared" si="3"/>
        <v>104052.52226751595</v>
      </c>
      <c r="M6" s="6">
        <f t="shared" si="4"/>
        <v>163362.45996000001</v>
      </c>
      <c r="N6" s="22">
        <f t="shared" si="7"/>
        <v>59309.937692484062</v>
      </c>
      <c r="P6" s="6">
        <f t="shared" ref="P6:P45" si="8">N4</f>
        <v>54208.089171974512</v>
      </c>
      <c r="Q6" s="59">
        <f>N4</f>
        <v>54208.089171974512</v>
      </c>
    </row>
    <row r="7" spans="1:25" ht="12.5" x14ac:dyDescent="0.25">
      <c r="B7" s="2" t="s">
        <v>7</v>
      </c>
      <c r="C7" s="9">
        <v>65</v>
      </c>
      <c r="D7" s="2" t="s">
        <v>5</v>
      </c>
      <c r="E7" s="2" t="s">
        <v>6</v>
      </c>
      <c r="G7" s="2">
        <f t="shared" si="5"/>
        <v>3</v>
      </c>
      <c r="H7" s="28">
        <f t="shared" si="6"/>
        <v>4</v>
      </c>
      <c r="I7" s="21">
        <f t="shared" si="0"/>
        <v>131210.29329936308</v>
      </c>
      <c r="J7" s="26">
        <f t="shared" si="1"/>
        <v>206000.16048000005</v>
      </c>
      <c r="K7" s="22">
        <f t="shared" si="2"/>
        <v>74789.867180636968</v>
      </c>
      <c r="L7" s="21">
        <f t="shared" si="3"/>
        <v>108838.93829182167</v>
      </c>
      <c r="M7" s="6">
        <f t="shared" si="4"/>
        <v>163069.72703596804</v>
      </c>
      <c r="N7" s="22">
        <f t="shared" si="7"/>
        <v>54230.788744146368</v>
      </c>
      <c r="P7" s="6">
        <f t="shared" si="8"/>
        <v>56701.661273885344</v>
      </c>
      <c r="Q7" s="59">
        <f t="shared" ref="Q7:Q63" si="9">N5</f>
        <v>56701.661273885344</v>
      </c>
    </row>
    <row r="8" spans="1:25" ht="12.5" x14ac:dyDescent="0.25">
      <c r="B8" s="2" t="s">
        <v>8</v>
      </c>
      <c r="C8" s="2">
        <f>C7-C6</f>
        <v>39</v>
      </c>
      <c r="D8" s="2" t="s">
        <v>5</v>
      </c>
      <c r="G8" s="2">
        <f t="shared" si="5"/>
        <v>4</v>
      </c>
      <c r="H8" s="28">
        <f t="shared" si="6"/>
        <v>5</v>
      </c>
      <c r="I8" s="21">
        <f t="shared" si="0"/>
        <v>137245.9667911338</v>
      </c>
      <c r="J8" s="26">
        <f t="shared" si="1"/>
        <v>215476.16786208004</v>
      </c>
      <c r="K8" s="22">
        <f t="shared" si="2"/>
        <v>78230.201070946234</v>
      </c>
      <c r="L8" s="21">
        <f t="shared" si="3"/>
        <v>113845.52945324549</v>
      </c>
      <c r="M8" s="6">
        <f t="shared" si="4"/>
        <v>170570.93447962255</v>
      </c>
      <c r="N8" s="22">
        <f t="shared" si="7"/>
        <v>56725.405026377062</v>
      </c>
      <c r="P8" s="6">
        <f t="shared" si="8"/>
        <v>59309.937692484062</v>
      </c>
      <c r="Q8" s="59">
        <f t="shared" si="9"/>
        <v>59309.937692484062</v>
      </c>
    </row>
    <row r="9" spans="1:25" ht="12.5" x14ac:dyDescent="0.25">
      <c r="G9" s="2">
        <f t="shared" si="5"/>
        <v>5</v>
      </c>
      <c r="H9" s="28">
        <f t="shared" si="6"/>
        <v>6</v>
      </c>
      <c r="I9" s="21">
        <f t="shared" si="0"/>
        <v>143559.28126352595</v>
      </c>
      <c r="J9" s="26">
        <f t="shared" si="1"/>
        <v>225388.07158373573</v>
      </c>
      <c r="K9" s="22">
        <f t="shared" si="2"/>
        <v>81828.79032020978</v>
      </c>
      <c r="L9" s="21">
        <f t="shared" si="3"/>
        <v>119082.42380809477</v>
      </c>
      <c r="M9" s="6">
        <f t="shared" si="4"/>
        <v>178417.1974656852</v>
      </c>
      <c r="N9" s="22">
        <f t="shared" si="7"/>
        <v>59334.773657590427</v>
      </c>
      <c r="P9" s="6">
        <f t="shared" si="8"/>
        <v>54230.788744146368</v>
      </c>
      <c r="Q9" s="59">
        <f t="shared" si="9"/>
        <v>54230.788744146368</v>
      </c>
    </row>
    <row r="10" spans="1:25" ht="12.5" x14ac:dyDescent="0.25">
      <c r="B10" s="2" t="s">
        <v>9</v>
      </c>
      <c r="C10" s="10">
        <v>4.2999999999999997E-2</v>
      </c>
      <c r="D10" s="2" t="s">
        <v>10</v>
      </c>
      <c r="E10" s="2" t="s">
        <v>6</v>
      </c>
      <c r="G10" s="2">
        <f t="shared" si="5"/>
        <v>6</v>
      </c>
      <c r="H10" s="28">
        <f t="shared" si="6"/>
        <v>7</v>
      </c>
      <c r="I10" s="21">
        <f t="shared" si="0"/>
        <v>150163.00820164816</v>
      </c>
      <c r="J10" s="26">
        <f t="shared" si="1"/>
        <v>235755.92287658757</v>
      </c>
      <c r="K10" s="22">
        <f t="shared" si="2"/>
        <v>85592.914674939413</v>
      </c>
      <c r="L10" s="21">
        <f t="shared" si="3"/>
        <v>124560.21530326715</v>
      </c>
      <c r="M10" s="6">
        <f t="shared" si="4"/>
        <v>186624.38854910672</v>
      </c>
      <c r="N10" s="22">
        <f t="shared" si="7"/>
        <v>62064.173245839571</v>
      </c>
      <c r="P10" s="6">
        <f t="shared" si="8"/>
        <v>56725.405026377062</v>
      </c>
      <c r="Q10" s="59">
        <f t="shared" si="9"/>
        <v>56725.405026377062</v>
      </c>
    </row>
    <row r="11" spans="1:25" ht="12.5" x14ac:dyDescent="0.25">
      <c r="B11" s="2" t="s">
        <v>11</v>
      </c>
      <c r="C11" s="10">
        <v>4.5999999999999999E-2</v>
      </c>
      <c r="D11" s="2" t="s">
        <v>10</v>
      </c>
      <c r="E11" s="2" t="s">
        <v>6</v>
      </c>
      <c r="G11" s="2">
        <f t="shared" si="5"/>
        <v>7</v>
      </c>
      <c r="H11" s="28">
        <f t="shared" si="6"/>
        <v>8</v>
      </c>
      <c r="I11" s="21">
        <f t="shared" si="0"/>
        <v>157070.50657892399</v>
      </c>
      <c r="J11" s="26">
        <f t="shared" si="1"/>
        <v>246600.69532891063</v>
      </c>
      <c r="K11" s="22">
        <f t="shared" si="2"/>
        <v>89530.188749986643</v>
      </c>
      <c r="L11" s="21">
        <f t="shared" si="3"/>
        <v>130289.98520721745</v>
      </c>
      <c r="M11" s="6">
        <f t="shared" si="4"/>
        <v>195209.11042236566</v>
      </c>
      <c r="N11" s="22">
        <f t="shared" si="7"/>
        <v>64919.125215148204</v>
      </c>
      <c r="P11" s="6">
        <f t="shared" si="8"/>
        <v>59334.773657590427</v>
      </c>
      <c r="Q11" s="59">
        <f t="shared" si="9"/>
        <v>59334.773657590427</v>
      </c>
    </row>
    <row r="12" spans="1:25" ht="12.5" x14ac:dyDescent="0.25">
      <c r="B12" s="2" t="s">
        <v>12</v>
      </c>
      <c r="C12" s="10">
        <v>0.15</v>
      </c>
      <c r="E12" s="2" t="s">
        <v>6</v>
      </c>
      <c r="G12" s="2">
        <f t="shared" si="5"/>
        <v>8</v>
      </c>
      <c r="H12" s="28">
        <f t="shared" si="6"/>
        <v>9</v>
      </c>
      <c r="I12" s="21">
        <f t="shared" si="0"/>
        <v>164295.74988155448</v>
      </c>
      <c r="J12" s="26">
        <f t="shared" si="1"/>
        <v>257944.32731404051</v>
      </c>
      <c r="K12" s="22">
        <f t="shared" si="2"/>
        <v>93648.577432486025</v>
      </c>
      <c r="L12" s="21">
        <f t="shared" si="3"/>
        <v>136283.32452674943</v>
      </c>
      <c r="M12" s="6">
        <f t="shared" si="4"/>
        <v>204188.72950179447</v>
      </c>
      <c r="N12" s="22">
        <f t="shared" si="7"/>
        <v>67905.404975045036</v>
      </c>
      <c r="P12" s="6">
        <f t="shared" si="8"/>
        <v>62064.173245839571</v>
      </c>
      <c r="Q12" s="59">
        <f t="shared" si="9"/>
        <v>62064.173245839571</v>
      </c>
    </row>
    <row r="13" spans="1:25" ht="12.5" x14ac:dyDescent="0.25">
      <c r="G13" s="2">
        <f t="shared" si="5"/>
        <v>9</v>
      </c>
      <c r="H13" s="28">
        <f t="shared" si="6"/>
        <v>10</v>
      </c>
      <c r="I13" s="21">
        <f t="shared" si="0"/>
        <v>171853.354376106</v>
      </c>
      <c r="J13" s="26">
        <f t="shared" si="1"/>
        <v>269809.76637048635</v>
      </c>
      <c r="K13" s="22">
        <f t="shared" si="2"/>
        <v>97956.411994380353</v>
      </c>
      <c r="L13" s="21">
        <f t="shared" si="3"/>
        <v>142552.35745497994</v>
      </c>
      <c r="M13" s="6">
        <f t="shared" si="4"/>
        <v>213581.41105887698</v>
      </c>
      <c r="N13" s="22">
        <f t="shared" si="7"/>
        <v>71029.053603897046</v>
      </c>
      <c r="P13" s="6">
        <f t="shared" si="8"/>
        <v>64919.125215148204</v>
      </c>
      <c r="Q13" s="59">
        <f t="shared" si="9"/>
        <v>64919.125215148204</v>
      </c>
    </row>
    <row r="14" spans="1:25" ht="12.5" x14ac:dyDescent="0.25">
      <c r="B14" s="2" t="s">
        <v>17</v>
      </c>
      <c r="C14" s="11">
        <v>114649.68152866243</v>
      </c>
      <c r="D14" s="2" t="s">
        <v>10</v>
      </c>
      <c r="E14" s="2" t="s">
        <v>6</v>
      </c>
      <c r="G14" s="2">
        <f t="shared" si="5"/>
        <v>10</v>
      </c>
      <c r="H14" s="28">
        <f t="shared" si="6"/>
        <v>11</v>
      </c>
      <c r="I14" s="21">
        <f t="shared" si="0"/>
        <v>179758.60867740688</v>
      </c>
      <c r="J14" s="26">
        <f t="shared" si="1"/>
        <v>282221.01562352874</v>
      </c>
      <c r="K14" s="22">
        <f t="shared" si="2"/>
        <v>102462.40694612186</v>
      </c>
      <c r="L14" s="21">
        <f t="shared" si="3"/>
        <v>149109.765897909</v>
      </c>
      <c r="M14" s="6">
        <f t="shared" si="4"/>
        <v>223406.15596758534</v>
      </c>
      <c r="N14" s="22">
        <f t="shared" si="7"/>
        <v>74296.39006967633</v>
      </c>
      <c r="P14" s="6">
        <f t="shared" si="8"/>
        <v>67905.404975045036</v>
      </c>
      <c r="Q14" s="59">
        <f t="shared" si="9"/>
        <v>67905.404975045036</v>
      </c>
    </row>
    <row r="15" spans="1:25" ht="12.5" x14ac:dyDescent="0.25">
      <c r="B15" s="2" t="s">
        <v>16</v>
      </c>
      <c r="C15" s="10">
        <v>0.56999999999999995</v>
      </c>
      <c r="D15" s="2"/>
      <c r="E15" s="2" t="s">
        <v>6</v>
      </c>
      <c r="G15" s="2">
        <f t="shared" si="5"/>
        <v>11</v>
      </c>
      <c r="H15" s="28">
        <f t="shared" si="6"/>
        <v>12</v>
      </c>
      <c r="I15" s="21">
        <f t="shared" si="0"/>
        <v>209462.64020969631</v>
      </c>
      <c r="J15" s="26">
        <f t="shared" si="1"/>
        <v>295203.18234221113</v>
      </c>
      <c r="K15" s="22">
        <f t="shared" si="2"/>
        <v>85740.54213251482</v>
      </c>
      <c r="L15" s="21">
        <f t="shared" si="3"/>
        <v>165810.62598999561</v>
      </c>
      <c r="M15" s="6">
        <f t="shared" si="4"/>
        <v>233682.83914209434</v>
      </c>
      <c r="N15" s="22">
        <f t="shared" si="7"/>
        <v>67872.213152098731</v>
      </c>
      <c r="P15" s="6">
        <f t="shared" si="8"/>
        <v>71029.053603897046</v>
      </c>
      <c r="Q15" s="59">
        <f t="shared" si="9"/>
        <v>71029.053603897046</v>
      </c>
    </row>
    <row r="16" spans="1:25" ht="12.5" x14ac:dyDescent="0.25">
      <c r="B16" s="2" t="s">
        <v>13</v>
      </c>
      <c r="C16" s="6">
        <f>C14*(1+C15)</f>
        <v>180000</v>
      </c>
      <c r="D16" s="2" t="s">
        <v>10</v>
      </c>
      <c r="G16" s="2">
        <f t="shared" si="5"/>
        <v>12</v>
      </c>
      <c r="H16" s="28">
        <f t="shared" si="6"/>
        <v>13</v>
      </c>
      <c r="I16" s="21">
        <f t="shared" si="0"/>
        <v>241519.07342699496</v>
      </c>
      <c r="J16" s="26">
        <f t="shared" si="1"/>
        <v>308782.52872995281</v>
      </c>
      <c r="K16" s="22">
        <f t="shared" si="2"/>
        <v>67263.455302957853</v>
      </c>
      <c r="L16" s="21">
        <f t="shared" si="3"/>
        <v>191186.4985248092</v>
      </c>
      <c r="M16" s="6">
        <f t="shared" si="4"/>
        <v>231216.35751298867</v>
      </c>
      <c r="N16" s="22">
        <f t="shared" si="7"/>
        <v>40029.858988179476</v>
      </c>
      <c r="P16" s="6">
        <f t="shared" si="8"/>
        <v>74296.39006967633</v>
      </c>
      <c r="Q16" s="59">
        <f t="shared" si="9"/>
        <v>74296.39006967633</v>
      </c>
    </row>
    <row r="17" spans="2:17" ht="12.5" x14ac:dyDescent="0.25">
      <c r="G17" s="2">
        <f t="shared" si="5"/>
        <v>13</v>
      </c>
      <c r="H17" s="28">
        <f t="shared" si="6"/>
        <v>14</v>
      </c>
      <c r="I17" s="21">
        <f t="shared" si="0"/>
        <v>276081.47555360134</v>
      </c>
      <c r="J17" s="26">
        <f t="shared" si="1"/>
        <v>322986.52505153063</v>
      </c>
      <c r="K17" s="22">
        <f t="shared" si="2"/>
        <v>46905.049497929285</v>
      </c>
      <c r="L17" s="21">
        <f t="shared" si="3"/>
        <v>218546.0960482308</v>
      </c>
      <c r="M17" s="6">
        <f t="shared" si="4"/>
        <v>241852.30995858615</v>
      </c>
      <c r="N17" s="22">
        <f t="shared" si="7"/>
        <v>23306.213910355349</v>
      </c>
      <c r="P17" s="6">
        <f t="shared" si="8"/>
        <v>67872.213152098731</v>
      </c>
      <c r="Q17" s="59">
        <f t="shared" si="9"/>
        <v>67872.213152098731</v>
      </c>
    </row>
    <row r="18" spans="2:17" ht="12.5" x14ac:dyDescent="0.25">
      <c r="B18" s="2" t="s">
        <v>27</v>
      </c>
      <c r="C18" s="9">
        <v>10</v>
      </c>
      <c r="D18" s="3" t="s">
        <v>5</v>
      </c>
      <c r="E18" s="2" t="s">
        <v>6</v>
      </c>
      <c r="G18" s="2">
        <f t="shared" si="5"/>
        <v>14</v>
      </c>
      <c r="H18" s="28">
        <f t="shared" si="6"/>
        <v>15</v>
      </c>
      <c r="I18" s="21">
        <f t="shared" si="0"/>
        <v>313312.56431648403</v>
      </c>
      <c r="J18" s="26">
        <f t="shared" si="1"/>
        <v>337843.90520390106</v>
      </c>
      <c r="K18" s="22">
        <f t="shared" si="2"/>
        <v>24531.340887417027</v>
      </c>
      <c r="L18" s="21">
        <f t="shared" si="3"/>
        <v>234608.44816018324</v>
      </c>
      <c r="M18" s="6">
        <f t="shared" si="4"/>
        <v>252977.51621668111</v>
      </c>
      <c r="N18" s="22">
        <f t="shared" si="7"/>
        <v>18369.068056497868</v>
      </c>
      <c r="P18" s="6">
        <f t="shared" si="8"/>
        <v>40029.858988179476</v>
      </c>
      <c r="Q18" s="59">
        <f t="shared" si="9"/>
        <v>40029.858988179476</v>
      </c>
    </row>
    <row r="19" spans="2:17" ht="12.5" x14ac:dyDescent="0.25">
      <c r="B19" s="2" t="s">
        <v>28</v>
      </c>
      <c r="C19" s="9">
        <v>5</v>
      </c>
      <c r="D19" s="3" t="s">
        <v>5</v>
      </c>
      <c r="E19" s="2" t="s">
        <v>6</v>
      </c>
      <c r="G19" s="2">
        <f t="shared" si="5"/>
        <v>15</v>
      </c>
      <c r="H19" s="28">
        <f t="shared" si="6"/>
        <v>16</v>
      </c>
      <c r="I19" s="21">
        <f t="shared" si="0"/>
        <v>353384.72484328056</v>
      </c>
      <c r="J19" s="26">
        <f t="shared" si="1"/>
        <v>353384.72484328056</v>
      </c>
      <c r="K19" s="22">
        <f t="shared" si="2"/>
        <v>0</v>
      </c>
      <c r="L19" s="21">
        <f t="shared" si="3"/>
        <v>264614.48196264851</v>
      </c>
      <c r="M19" s="6">
        <f t="shared" si="4"/>
        <v>264614.48196264851</v>
      </c>
      <c r="N19" s="22">
        <f t="shared" si="7"/>
        <v>0</v>
      </c>
      <c r="P19" s="6">
        <f t="shared" si="8"/>
        <v>23306.213910355349</v>
      </c>
      <c r="Q19" s="59">
        <f t="shared" si="9"/>
        <v>23306.213910355349</v>
      </c>
    </row>
    <row r="20" spans="2:17" ht="12.5" x14ac:dyDescent="0.25">
      <c r="G20" s="2">
        <f t="shared" si="5"/>
        <v>16</v>
      </c>
      <c r="H20" s="28">
        <f t="shared" si="6"/>
        <v>17</v>
      </c>
      <c r="I20" s="21">
        <f t="shared" si="0"/>
        <v>369640.42218607146</v>
      </c>
      <c r="J20" s="26">
        <f t="shared" si="1"/>
        <v>369640.42218607146</v>
      </c>
      <c r="K20" s="22">
        <f t="shared" si="2"/>
        <v>0</v>
      </c>
      <c r="L20" s="21">
        <f t="shared" si="3"/>
        <v>276786.74813293031</v>
      </c>
      <c r="M20" s="6">
        <f t="shared" si="4"/>
        <v>276786.74813293031</v>
      </c>
      <c r="N20" s="22">
        <f t="shared" si="7"/>
        <v>0</v>
      </c>
      <c r="P20" s="6">
        <f t="shared" si="8"/>
        <v>18369.068056497868</v>
      </c>
      <c r="Q20" s="59">
        <f t="shared" si="9"/>
        <v>18369.068056497868</v>
      </c>
    </row>
    <row r="21" spans="2:17" ht="12.5" x14ac:dyDescent="0.25">
      <c r="B21" s="12" t="s">
        <v>14</v>
      </c>
      <c r="C21" s="13">
        <f>SUM(N4:N63)</f>
        <v>830302.15678319533</v>
      </c>
      <c r="D21" s="12"/>
      <c r="G21" s="2">
        <f t="shared" si="5"/>
        <v>17</v>
      </c>
      <c r="H21" s="28">
        <f t="shared" si="6"/>
        <v>18</v>
      </c>
      <c r="I21" s="21">
        <f t="shared" si="0"/>
        <v>386643.88160663081</v>
      </c>
      <c r="J21" s="26">
        <f t="shared" si="1"/>
        <v>386643.88160663081</v>
      </c>
      <c r="K21" s="22">
        <f t="shared" si="2"/>
        <v>0</v>
      </c>
      <c r="L21" s="21">
        <f t="shared" si="3"/>
        <v>289518.93854704517</v>
      </c>
      <c r="M21" s="6">
        <f t="shared" si="4"/>
        <v>289518.93854704517</v>
      </c>
      <c r="N21" s="22">
        <f t="shared" si="7"/>
        <v>0</v>
      </c>
      <c r="P21" s="6">
        <f t="shared" si="8"/>
        <v>0</v>
      </c>
      <c r="Q21" s="59">
        <f t="shared" si="9"/>
        <v>0</v>
      </c>
    </row>
    <row r="22" spans="2:17" ht="12.5" x14ac:dyDescent="0.25">
      <c r="B22" s="35" t="s">
        <v>26</v>
      </c>
      <c r="C22" s="36">
        <f>NPV(C10,N4:N63,)</f>
        <v>613490.8205534101</v>
      </c>
      <c r="D22" s="35"/>
      <c r="G22" s="2">
        <f t="shared" si="5"/>
        <v>18</v>
      </c>
      <c r="H22" s="28">
        <f t="shared" si="6"/>
        <v>19</v>
      </c>
      <c r="I22" s="21">
        <f t="shared" si="0"/>
        <v>404429.5001605358</v>
      </c>
      <c r="J22" s="26">
        <f t="shared" si="1"/>
        <v>404429.5001605358</v>
      </c>
      <c r="K22" s="22">
        <f t="shared" si="2"/>
        <v>0</v>
      </c>
      <c r="L22" s="21">
        <f t="shared" si="3"/>
        <v>292847.40106624394</v>
      </c>
      <c r="M22" s="6">
        <f t="shared" si="4"/>
        <v>292847.40106624394</v>
      </c>
      <c r="N22" s="22">
        <f t="shared" si="7"/>
        <v>0</v>
      </c>
      <c r="P22" s="6">
        <f t="shared" si="8"/>
        <v>0</v>
      </c>
      <c r="Q22" s="59">
        <f t="shared" si="9"/>
        <v>0</v>
      </c>
    </row>
    <row r="23" spans="2:17" ht="12.5" x14ac:dyDescent="0.25">
      <c r="G23" s="2">
        <f t="shared" si="5"/>
        <v>19</v>
      </c>
      <c r="H23" s="28">
        <f t="shared" si="6"/>
        <v>20</v>
      </c>
      <c r="I23" s="21">
        <f t="shared" si="0"/>
        <v>423033.25716792047</v>
      </c>
      <c r="J23" s="26">
        <f t="shared" si="1"/>
        <v>423033.25716792047</v>
      </c>
      <c r="K23" s="22">
        <f t="shared" si="2"/>
        <v>0</v>
      </c>
      <c r="L23" s="21">
        <f t="shared" si="3"/>
        <v>306318.38151529117</v>
      </c>
      <c r="M23" s="6">
        <f t="shared" si="4"/>
        <v>306318.38151529117</v>
      </c>
      <c r="N23" s="22">
        <f t="shared" si="7"/>
        <v>0</v>
      </c>
      <c r="P23" s="6">
        <f t="shared" si="8"/>
        <v>0</v>
      </c>
      <c r="Q23" s="59">
        <f t="shared" si="9"/>
        <v>0</v>
      </c>
    </row>
    <row r="24" spans="2:17" ht="12.5" x14ac:dyDescent="0.25">
      <c r="G24" s="2">
        <f t="shared" si="5"/>
        <v>20</v>
      </c>
      <c r="H24" s="28">
        <f t="shared" si="6"/>
        <v>21</v>
      </c>
      <c r="I24" s="21">
        <f t="shared" si="0"/>
        <v>442492.78699764481</v>
      </c>
      <c r="J24" s="26">
        <f t="shared" si="1"/>
        <v>442492.78699764481</v>
      </c>
      <c r="K24" s="22">
        <f t="shared" si="2"/>
        <v>0</v>
      </c>
      <c r="L24" s="21">
        <f t="shared" si="3"/>
        <v>320409.02706499462</v>
      </c>
      <c r="M24" s="6">
        <f t="shared" si="4"/>
        <v>320409.02706499462</v>
      </c>
      <c r="N24" s="22">
        <f t="shared" si="7"/>
        <v>0</v>
      </c>
      <c r="P24" s="6">
        <f t="shared" si="8"/>
        <v>0</v>
      </c>
      <c r="Q24" s="59">
        <f t="shared" si="9"/>
        <v>0</v>
      </c>
    </row>
    <row r="25" spans="2:17" ht="12.5" x14ac:dyDescent="0.25">
      <c r="G25" s="2">
        <f t="shared" si="5"/>
        <v>21</v>
      </c>
      <c r="H25" s="28">
        <f t="shared" si="6"/>
        <v>22</v>
      </c>
      <c r="I25" s="21">
        <f t="shared" si="0"/>
        <v>462847.45519953652</v>
      </c>
      <c r="J25" s="26">
        <f t="shared" si="1"/>
        <v>462847.45519953652</v>
      </c>
      <c r="K25" s="22">
        <f t="shared" si="2"/>
        <v>0</v>
      </c>
      <c r="L25" s="21">
        <f t="shared" si="3"/>
        <v>335147.84230998438</v>
      </c>
      <c r="M25" s="6">
        <f t="shared" si="4"/>
        <v>335147.84230998438</v>
      </c>
      <c r="N25" s="22">
        <f t="shared" si="7"/>
        <v>0</v>
      </c>
      <c r="P25" s="6">
        <f t="shared" si="8"/>
        <v>0</v>
      </c>
      <c r="Q25" s="59">
        <f t="shared" si="9"/>
        <v>0</v>
      </c>
    </row>
    <row r="26" spans="2:17" ht="12.5" x14ac:dyDescent="0.25">
      <c r="G26" s="2">
        <f t="shared" si="5"/>
        <v>22</v>
      </c>
      <c r="H26" s="28">
        <f t="shared" si="6"/>
        <v>23</v>
      </c>
      <c r="I26" s="21">
        <f t="shared" si="0"/>
        <v>484138.43813871522</v>
      </c>
      <c r="J26" s="26">
        <f t="shared" si="1"/>
        <v>484138.43813871522</v>
      </c>
      <c r="K26" s="22">
        <f t="shared" si="2"/>
        <v>0</v>
      </c>
      <c r="L26" s="21">
        <f t="shared" si="3"/>
        <v>350564.64305624366</v>
      </c>
      <c r="M26" s="6">
        <f t="shared" si="4"/>
        <v>350564.64305624366</v>
      </c>
      <c r="N26" s="22">
        <f t="shared" si="7"/>
        <v>0</v>
      </c>
      <c r="P26" s="6">
        <f t="shared" si="8"/>
        <v>0</v>
      </c>
      <c r="Q26" s="59">
        <f t="shared" si="9"/>
        <v>0</v>
      </c>
    </row>
    <row r="27" spans="2:17" ht="12.5" x14ac:dyDescent="0.25">
      <c r="G27" s="2">
        <f t="shared" si="5"/>
        <v>23</v>
      </c>
      <c r="H27" s="28">
        <f t="shared" si="6"/>
        <v>24</v>
      </c>
      <c r="I27" s="21">
        <f t="shared" si="0"/>
        <v>506408.8062930961</v>
      </c>
      <c r="J27" s="26">
        <f t="shared" si="1"/>
        <v>506408.8062930961</v>
      </c>
      <c r="K27" s="22">
        <f t="shared" si="2"/>
        <v>0</v>
      </c>
      <c r="L27" s="21">
        <f t="shared" si="3"/>
        <v>359195.76630369306</v>
      </c>
      <c r="M27" s="6">
        <f t="shared" si="4"/>
        <v>359195.76630369306</v>
      </c>
      <c r="N27" s="22">
        <f t="shared" si="7"/>
        <v>0</v>
      </c>
      <c r="P27" s="6">
        <f t="shared" si="8"/>
        <v>0</v>
      </c>
      <c r="Q27" s="59">
        <f t="shared" si="9"/>
        <v>0</v>
      </c>
    </row>
    <row r="28" spans="2:17" ht="12.5" x14ac:dyDescent="0.25">
      <c r="G28" s="2">
        <f t="shared" si="5"/>
        <v>24</v>
      </c>
      <c r="H28" s="28">
        <f t="shared" si="6"/>
        <v>25</v>
      </c>
      <c r="I28" s="21">
        <f t="shared" si="0"/>
        <v>529703.61138257862</v>
      </c>
      <c r="J28" s="26">
        <f t="shared" si="1"/>
        <v>529703.61138257862</v>
      </c>
      <c r="K28" s="22">
        <f t="shared" si="2"/>
        <v>0</v>
      </c>
      <c r="L28" s="21">
        <f t="shared" si="3"/>
        <v>375718.77155366301</v>
      </c>
      <c r="M28" s="6">
        <f t="shared" si="4"/>
        <v>375718.77155366301</v>
      </c>
      <c r="N28" s="22">
        <f t="shared" si="7"/>
        <v>0</v>
      </c>
      <c r="P28" s="6">
        <f t="shared" si="8"/>
        <v>0</v>
      </c>
      <c r="Q28" s="59">
        <f t="shared" si="9"/>
        <v>0</v>
      </c>
    </row>
    <row r="29" spans="2:17" ht="12.5" x14ac:dyDescent="0.25">
      <c r="G29" s="2">
        <f t="shared" si="5"/>
        <v>25</v>
      </c>
      <c r="H29" s="28">
        <f t="shared" si="6"/>
        <v>26</v>
      </c>
      <c r="I29" s="21">
        <f t="shared" si="0"/>
        <v>554069.97750617715</v>
      </c>
      <c r="J29" s="26">
        <f t="shared" si="1"/>
        <v>554069.97750617715</v>
      </c>
      <c r="K29" s="22">
        <f t="shared" si="2"/>
        <v>0</v>
      </c>
      <c r="L29" s="21">
        <f t="shared" si="3"/>
        <v>393001.83504513145</v>
      </c>
      <c r="M29" s="6">
        <f t="shared" si="4"/>
        <v>393001.83504513145</v>
      </c>
      <c r="N29" s="22">
        <f t="shared" si="7"/>
        <v>0</v>
      </c>
      <c r="P29" s="6">
        <f t="shared" si="8"/>
        <v>0</v>
      </c>
      <c r="Q29" s="59">
        <f t="shared" si="9"/>
        <v>0</v>
      </c>
    </row>
    <row r="30" spans="2:17" ht="12.5" x14ac:dyDescent="0.25">
      <c r="G30" s="2">
        <f t="shared" si="5"/>
        <v>26</v>
      </c>
      <c r="H30" s="28">
        <f t="shared" si="6"/>
        <v>27</v>
      </c>
      <c r="I30" s="21">
        <f t="shared" si="0"/>
        <v>579557.19647146133</v>
      </c>
      <c r="J30" s="26">
        <f t="shared" si="1"/>
        <v>579557.19647146133</v>
      </c>
      <c r="K30" s="22">
        <f t="shared" si="2"/>
        <v>0</v>
      </c>
      <c r="L30" s="21">
        <f t="shared" si="3"/>
        <v>411079.91945720755</v>
      </c>
      <c r="M30" s="6">
        <f t="shared" si="4"/>
        <v>411079.91945720755</v>
      </c>
      <c r="N30" s="22">
        <f t="shared" si="7"/>
        <v>0</v>
      </c>
      <c r="P30" s="6">
        <f t="shared" si="8"/>
        <v>0</v>
      </c>
      <c r="Q30" s="59">
        <f t="shared" si="9"/>
        <v>0</v>
      </c>
    </row>
    <row r="31" spans="2:17" ht="12.5" x14ac:dyDescent="0.25">
      <c r="G31" s="2">
        <f t="shared" si="5"/>
        <v>27</v>
      </c>
      <c r="H31" s="28">
        <f t="shared" si="6"/>
        <v>28</v>
      </c>
      <c r="I31" s="21">
        <f t="shared" si="0"/>
        <v>606216.82750914874</v>
      </c>
      <c r="J31" s="26">
        <f t="shared" si="1"/>
        <v>606216.82750914874</v>
      </c>
      <c r="K31" s="22">
        <f t="shared" si="2"/>
        <v>0</v>
      </c>
      <c r="L31" s="21">
        <f t="shared" si="3"/>
        <v>423988.04915989866</v>
      </c>
      <c r="M31" s="6">
        <f t="shared" si="4"/>
        <v>423988.04915989866</v>
      </c>
      <c r="N31" s="22">
        <f t="shared" si="7"/>
        <v>0</v>
      </c>
      <c r="P31" s="6">
        <f t="shared" si="8"/>
        <v>0</v>
      </c>
      <c r="Q31" s="59">
        <f t="shared" si="9"/>
        <v>0</v>
      </c>
    </row>
    <row r="32" spans="2:17" ht="12.5" x14ac:dyDescent="0.25">
      <c r="G32" s="2">
        <f t="shared" si="5"/>
        <v>28</v>
      </c>
      <c r="H32" s="28">
        <f t="shared" si="6"/>
        <v>29</v>
      </c>
      <c r="I32" s="21">
        <f t="shared" si="0"/>
        <v>634102.80157456943</v>
      </c>
      <c r="J32" s="26">
        <f t="shared" si="1"/>
        <v>634102.80157456943</v>
      </c>
      <c r="K32" s="22">
        <f t="shared" si="2"/>
        <v>0</v>
      </c>
      <c r="L32" s="21">
        <f t="shared" si="3"/>
        <v>443491.49942125386</v>
      </c>
      <c r="M32" s="6">
        <f t="shared" si="4"/>
        <v>443491.49942125386</v>
      </c>
      <c r="N32" s="22">
        <f t="shared" si="7"/>
        <v>0</v>
      </c>
      <c r="P32" s="6">
        <f t="shared" si="8"/>
        <v>0</v>
      </c>
      <c r="Q32" s="59">
        <f t="shared" si="9"/>
        <v>0</v>
      </c>
    </row>
    <row r="33" spans="3:17" ht="12.5" x14ac:dyDescent="0.25">
      <c r="G33" s="2">
        <f t="shared" si="5"/>
        <v>29</v>
      </c>
      <c r="H33" s="28">
        <f t="shared" si="6"/>
        <v>30</v>
      </c>
      <c r="I33" s="21">
        <f t="shared" si="0"/>
        <v>663271.53044699971</v>
      </c>
      <c r="J33" s="26">
        <f t="shared" si="1"/>
        <v>663271.53044699971</v>
      </c>
      <c r="K33" s="22">
        <f t="shared" si="2"/>
        <v>0</v>
      </c>
      <c r="L33" s="21">
        <f t="shared" si="3"/>
        <v>463892.10839463159</v>
      </c>
      <c r="M33" s="6">
        <f t="shared" si="4"/>
        <v>463892.10839463159</v>
      </c>
      <c r="N33" s="22">
        <f t="shared" si="7"/>
        <v>0</v>
      </c>
      <c r="P33" s="6">
        <f t="shared" si="8"/>
        <v>0</v>
      </c>
      <c r="Q33" s="59">
        <f t="shared" si="9"/>
        <v>0</v>
      </c>
    </row>
    <row r="34" spans="3:17" ht="12.5" x14ac:dyDescent="0.25">
      <c r="G34" s="2">
        <f t="shared" si="5"/>
        <v>30</v>
      </c>
      <c r="H34" s="28">
        <f t="shared" si="6"/>
        <v>31</v>
      </c>
      <c r="I34" s="21">
        <f t="shared" si="0"/>
        <v>693782.02084756165</v>
      </c>
      <c r="J34" s="26">
        <f t="shared" si="1"/>
        <v>693782.02084756165</v>
      </c>
      <c r="K34" s="22">
        <f t="shared" si="2"/>
        <v>0</v>
      </c>
      <c r="L34" s="21">
        <f t="shared" si="3"/>
        <v>485231.14538078464</v>
      </c>
      <c r="M34" s="6">
        <f t="shared" si="4"/>
        <v>485231.14538078464</v>
      </c>
      <c r="N34" s="22">
        <f t="shared" si="7"/>
        <v>0</v>
      </c>
      <c r="P34" s="6">
        <f t="shared" si="8"/>
        <v>0</v>
      </c>
      <c r="Q34" s="59">
        <f t="shared" si="9"/>
        <v>0</v>
      </c>
    </row>
    <row r="35" spans="3:17" ht="12.5" x14ac:dyDescent="0.25">
      <c r="G35" s="2">
        <f t="shared" si="5"/>
        <v>31</v>
      </c>
      <c r="H35" s="28">
        <f t="shared" si="6"/>
        <v>32</v>
      </c>
      <c r="I35" s="21">
        <f t="shared" si="0"/>
        <v>725695.9938065497</v>
      </c>
      <c r="J35" s="26">
        <f t="shared" si="1"/>
        <v>725695.9938065497</v>
      </c>
      <c r="K35" s="22">
        <f t="shared" si="2"/>
        <v>0</v>
      </c>
      <c r="L35" s="21">
        <f t="shared" si="3"/>
        <v>500512.52692837734</v>
      </c>
      <c r="M35" s="6">
        <f t="shared" si="4"/>
        <v>500512.52692837734</v>
      </c>
      <c r="N35" s="22">
        <f t="shared" si="7"/>
        <v>0</v>
      </c>
      <c r="P35" s="6">
        <f t="shared" si="8"/>
        <v>0</v>
      </c>
      <c r="Q35" s="59">
        <f t="shared" si="9"/>
        <v>0</v>
      </c>
    </row>
    <row r="36" spans="3:17" ht="12.5" x14ac:dyDescent="0.25">
      <c r="G36" s="2">
        <f t="shared" si="5"/>
        <v>32</v>
      </c>
      <c r="H36" s="28">
        <f t="shared" si="6"/>
        <v>33</v>
      </c>
      <c r="I36" s="21">
        <f t="shared" ref="I36:I63" si="10">IF(G36&gt;$C$8,NA(),IF(G36&gt;=($C$18+$C$19),J36,IF(G36&gt;=$C$18,$C$14*(1+$C$11)^G36+(J36-$C$14*(1+$C$11)^G36)*((G36-$C$18)/$C$19),$C$14*(1+$C$11)^G36)))</f>
        <v>759078.00952165085</v>
      </c>
      <c r="J36" s="26">
        <f t="shared" ref="J36:J63" si="11">IF(G36&gt;$C$8,NA(),$C$16*(1+$C$11)^G36)</f>
        <v>759078.00952165085</v>
      </c>
      <c r="K36" s="22">
        <f t="shared" ref="K36:K63" si="12">IF(G36&gt;$C$8,"",J36-I36)</f>
        <v>0</v>
      </c>
      <c r="L36" s="21">
        <f t="shared" ref="L36:L63" si="13">IF(G36&gt;$C$8,NA(),I36*(1-VLOOKUP(I36,$C$47:$D$67,2,TRUE)))</f>
        <v>523536.10316708259</v>
      </c>
      <c r="M36" s="6">
        <f t="shared" ref="M36:M63" si="14">IF(G36&gt;$C$8,NA(),J36*(1-VLOOKUP(J36,$C$47:$D$67,2,TRUE)))</f>
        <v>523536.10316708259</v>
      </c>
      <c r="N36" s="22">
        <f t="shared" si="7"/>
        <v>0</v>
      </c>
      <c r="P36" s="6">
        <f t="shared" si="8"/>
        <v>0</v>
      </c>
      <c r="Q36" s="59">
        <f t="shared" si="9"/>
        <v>0</v>
      </c>
    </row>
    <row r="37" spans="3:17" ht="12.5" x14ac:dyDescent="0.25">
      <c r="G37" s="2">
        <f t="shared" si="5"/>
        <v>33</v>
      </c>
      <c r="H37" s="28">
        <f t="shared" si="6"/>
        <v>34</v>
      </c>
      <c r="I37" s="21">
        <f t="shared" si="10"/>
        <v>793995.59795964684</v>
      </c>
      <c r="J37" s="26">
        <f t="shared" si="11"/>
        <v>793995.59795964684</v>
      </c>
      <c r="K37" s="22">
        <f t="shared" si="12"/>
        <v>0</v>
      </c>
      <c r="L37" s="21">
        <f t="shared" si="13"/>
        <v>547618.76391276845</v>
      </c>
      <c r="M37" s="6">
        <f t="shared" si="14"/>
        <v>547618.76391276845</v>
      </c>
      <c r="N37" s="22">
        <f t="shared" si="7"/>
        <v>0</v>
      </c>
      <c r="P37" s="6">
        <f t="shared" si="8"/>
        <v>0</v>
      </c>
      <c r="Q37" s="59">
        <f t="shared" si="9"/>
        <v>0</v>
      </c>
    </row>
    <row r="38" spans="3:17" ht="12.5" x14ac:dyDescent="0.25">
      <c r="G38" s="2">
        <f t="shared" si="5"/>
        <v>34</v>
      </c>
      <c r="H38" s="28">
        <f t="shared" si="6"/>
        <v>35</v>
      </c>
      <c r="I38" s="21">
        <f t="shared" si="10"/>
        <v>830519.39546579053</v>
      </c>
      <c r="J38" s="26">
        <f t="shared" si="11"/>
        <v>830519.39546579053</v>
      </c>
      <c r="K38" s="22">
        <f t="shared" si="12"/>
        <v>0</v>
      </c>
      <c r="L38" s="21">
        <f t="shared" si="13"/>
        <v>566663.38352630893</v>
      </c>
      <c r="M38" s="6">
        <f t="shared" si="14"/>
        <v>566663.38352630893</v>
      </c>
      <c r="N38" s="22">
        <f t="shared" si="7"/>
        <v>0</v>
      </c>
      <c r="P38" s="6">
        <f t="shared" si="8"/>
        <v>0</v>
      </c>
      <c r="Q38" s="59">
        <f t="shared" si="9"/>
        <v>0</v>
      </c>
    </row>
    <row r="39" spans="3:17" ht="12.5" x14ac:dyDescent="0.25">
      <c r="G39" s="2">
        <f t="shared" si="5"/>
        <v>35</v>
      </c>
      <c r="H39" s="28">
        <f t="shared" si="6"/>
        <v>36</v>
      </c>
      <c r="I39" s="21">
        <f t="shared" si="10"/>
        <v>868723.28765721701</v>
      </c>
      <c r="J39" s="26">
        <f t="shared" si="11"/>
        <v>868723.28765721701</v>
      </c>
      <c r="K39" s="22">
        <f t="shared" si="12"/>
        <v>0</v>
      </c>
      <c r="L39" s="21">
        <f t="shared" si="13"/>
        <v>592729.89916851919</v>
      </c>
      <c r="M39" s="6">
        <f t="shared" si="14"/>
        <v>592729.89916851919</v>
      </c>
      <c r="N39" s="22">
        <f t="shared" si="7"/>
        <v>0</v>
      </c>
      <c r="P39" s="6">
        <f t="shared" si="8"/>
        <v>0</v>
      </c>
      <c r="Q39" s="59">
        <f t="shared" si="9"/>
        <v>0</v>
      </c>
    </row>
    <row r="40" spans="3:17" ht="12.5" x14ac:dyDescent="0.25">
      <c r="G40" s="2">
        <f t="shared" si="5"/>
        <v>36</v>
      </c>
      <c r="H40" s="28">
        <f t="shared" si="6"/>
        <v>37</v>
      </c>
      <c r="I40" s="21">
        <f t="shared" si="10"/>
        <v>908684.55888944911</v>
      </c>
      <c r="J40" s="26">
        <f t="shared" si="11"/>
        <v>908684.55888944911</v>
      </c>
      <c r="K40" s="22">
        <f t="shared" si="12"/>
        <v>0</v>
      </c>
      <c r="L40" s="21">
        <f t="shared" si="13"/>
        <v>614725.10408871237</v>
      </c>
      <c r="M40" s="6">
        <f t="shared" si="14"/>
        <v>614725.10408871237</v>
      </c>
      <c r="N40" s="22">
        <f t="shared" si="7"/>
        <v>0</v>
      </c>
      <c r="P40" s="6">
        <f t="shared" si="8"/>
        <v>0</v>
      </c>
      <c r="Q40" s="59">
        <f t="shared" si="9"/>
        <v>0</v>
      </c>
    </row>
    <row r="41" spans="3:17" ht="12.5" x14ac:dyDescent="0.25">
      <c r="G41" s="2">
        <f t="shared" si="5"/>
        <v>37</v>
      </c>
      <c r="H41" s="28">
        <f t="shared" si="6"/>
        <v>38</v>
      </c>
      <c r="I41" s="21">
        <f t="shared" si="10"/>
        <v>950484.04859836365</v>
      </c>
      <c r="J41" s="26">
        <f t="shared" si="11"/>
        <v>950484.04859836365</v>
      </c>
      <c r="K41" s="22">
        <f t="shared" si="12"/>
        <v>0</v>
      </c>
      <c r="L41" s="21">
        <f t="shared" si="13"/>
        <v>643002.45887679304</v>
      </c>
      <c r="M41" s="6">
        <f t="shared" si="14"/>
        <v>643002.45887679304</v>
      </c>
      <c r="N41" s="22">
        <f t="shared" si="7"/>
        <v>0</v>
      </c>
      <c r="P41" s="6">
        <f t="shared" si="8"/>
        <v>0</v>
      </c>
      <c r="Q41" s="59">
        <f t="shared" si="9"/>
        <v>0</v>
      </c>
    </row>
    <row r="42" spans="3:17" ht="12.5" x14ac:dyDescent="0.25">
      <c r="G42" s="2">
        <f t="shared" si="5"/>
        <v>38</v>
      </c>
      <c r="H42" s="28">
        <f t="shared" si="6"/>
        <v>39</v>
      </c>
      <c r="I42" s="21">
        <f t="shared" si="10"/>
        <v>994206.31483388867</v>
      </c>
      <c r="J42" s="26">
        <f t="shared" si="11"/>
        <v>994206.31483388867</v>
      </c>
      <c r="K42" s="22">
        <f t="shared" si="12"/>
        <v>0</v>
      </c>
      <c r="L42" s="21">
        <f t="shared" si="13"/>
        <v>672580.57198512566</v>
      </c>
      <c r="M42" s="6">
        <f t="shared" si="14"/>
        <v>672580.57198512566</v>
      </c>
      <c r="N42" s="22">
        <f t="shared" si="7"/>
        <v>0</v>
      </c>
      <c r="P42" s="6">
        <f t="shared" si="8"/>
        <v>0</v>
      </c>
      <c r="Q42" s="59">
        <f t="shared" si="9"/>
        <v>0</v>
      </c>
    </row>
    <row r="43" spans="3:17" ht="12.5" x14ac:dyDescent="0.25">
      <c r="G43" s="2">
        <f t="shared" si="5"/>
        <v>39</v>
      </c>
      <c r="H43" s="28">
        <f t="shared" si="6"/>
        <v>40</v>
      </c>
      <c r="I43" s="21">
        <f t="shared" si="10"/>
        <v>1039939.8053162474</v>
      </c>
      <c r="J43" s="26">
        <f t="shared" si="11"/>
        <v>1039939.8053162474</v>
      </c>
      <c r="K43" s="22">
        <f t="shared" si="12"/>
        <v>0</v>
      </c>
      <c r="L43" s="21">
        <f t="shared" si="13"/>
        <v>698631.56121145491</v>
      </c>
      <c r="M43" s="6">
        <f t="shared" si="14"/>
        <v>698631.56121145491</v>
      </c>
      <c r="N43" s="22">
        <f t="shared" si="7"/>
        <v>0</v>
      </c>
      <c r="P43" s="6">
        <f t="shared" si="8"/>
        <v>0</v>
      </c>
      <c r="Q43" s="59">
        <f t="shared" si="9"/>
        <v>0</v>
      </c>
    </row>
    <row r="44" spans="3:17" ht="12.5" x14ac:dyDescent="0.25">
      <c r="G44" s="2">
        <f t="shared" si="5"/>
        <v>40</v>
      </c>
      <c r="H44" s="28" t="str">
        <f t="shared" si="6"/>
        <v/>
      </c>
      <c r="I44" s="21" t="e">
        <f t="shared" si="10"/>
        <v>#N/A</v>
      </c>
      <c r="J44" s="26" t="e">
        <f t="shared" si="11"/>
        <v>#N/A</v>
      </c>
      <c r="K44" s="22" t="str">
        <f t="shared" si="12"/>
        <v/>
      </c>
      <c r="L44" s="21" t="e">
        <f t="shared" si="13"/>
        <v>#N/A</v>
      </c>
      <c r="M44" s="6" t="e">
        <f t="shared" si="14"/>
        <v>#N/A</v>
      </c>
      <c r="N44" s="22" t="str">
        <f t="shared" si="7"/>
        <v/>
      </c>
      <c r="P44" s="6">
        <f t="shared" si="8"/>
        <v>0</v>
      </c>
      <c r="Q44" s="59">
        <f t="shared" si="9"/>
        <v>0</v>
      </c>
    </row>
    <row r="45" spans="3:17" ht="12.5" x14ac:dyDescent="0.25">
      <c r="G45" s="2">
        <f t="shared" si="5"/>
        <v>41</v>
      </c>
      <c r="H45" s="28" t="str">
        <f t="shared" si="6"/>
        <v/>
      </c>
      <c r="I45" s="21" t="e">
        <f t="shared" si="10"/>
        <v>#N/A</v>
      </c>
      <c r="J45" s="26" t="e">
        <f t="shared" si="11"/>
        <v>#N/A</v>
      </c>
      <c r="K45" s="22" t="str">
        <f t="shared" si="12"/>
        <v/>
      </c>
      <c r="L45" s="21" t="e">
        <f t="shared" si="13"/>
        <v>#N/A</v>
      </c>
      <c r="M45" s="6" t="e">
        <f t="shared" si="14"/>
        <v>#N/A</v>
      </c>
      <c r="N45" s="22" t="str">
        <f t="shared" si="7"/>
        <v/>
      </c>
      <c r="P45" s="6">
        <f t="shared" si="8"/>
        <v>0</v>
      </c>
      <c r="Q45" s="59">
        <f t="shared" si="9"/>
        <v>0</v>
      </c>
    </row>
    <row r="46" spans="3:17" ht="13" x14ac:dyDescent="0.3">
      <c r="C46" s="37" t="s">
        <v>29</v>
      </c>
      <c r="D46" s="37"/>
      <c r="G46" s="2">
        <f t="shared" si="5"/>
        <v>42</v>
      </c>
      <c r="H46" s="28" t="str">
        <f t="shared" si="6"/>
        <v/>
      </c>
      <c r="I46" s="21" t="e">
        <f t="shared" si="10"/>
        <v>#N/A</v>
      </c>
      <c r="J46" s="26" t="e">
        <f t="shared" si="11"/>
        <v>#N/A</v>
      </c>
      <c r="K46" s="22" t="str">
        <f t="shared" si="12"/>
        <v/>
      </c>
      <c r="L46" s="21" t="e">
        <f t="shared" si="13"/>
        <v>#N/A</v>
      </c>
      <c r="M46" s="6" t="e">
        <f t="shared" si="14"/>
        <v>#N/A</v>
      </c>
      <c r="N46" s="22" t="str">
        <f t="shared" si="7"/>
        <v/>
      </c>
      <c r="P46" s="6" t="str">
        <f t="shared" ref="P46:P64" si="15">N46</f>
        <v/>
      </c>
      <c r="Q46" s="59" t="str">
        <f t="shared" si="9"/>
        <v/>
      </c>
    </row>
    <row r="47" spans="3:17" ht="12.5" x14ac:dyDescent="0.25">
      <c r="C47" s="17" t="s">
        <v>18</v>
      </c>
      <c r="D47" s="18" t="s">
        <v>19</v>
      </c>
      <c r="G47" s="2">
        <f t="shared" si="5"/>
        <v>43</v>
      </c>
      <c r="H47" s="28" t="str">
        <f t="shared" si="6"/>
        <v/>
      </c>
      <c r="I47" s="21" t="e">
        <f t="shared" si="10"/>
        <v>#N/A</v>
      </c>
      <c r="J47" s="26" t="e">
        <f t="shared" si="11"/>
        <v>#N/A</v>
      </c>
      <c r="K47" s="22" t="str">
        <f t="shared" si="12"/>
        <v/>
      </c>
      <c r="L47" s="21" t="e">
        <f t="shared" si="13"/>
        <v>#N/A</v>
      </c>
      <c r="M47" s="6" t="e">
        <f t="shared" si="14"/>
        <v>#N/A</v>
      </c>
      <c r="N47" s="22" t="str">
        <f t="shared" si="7"/>
        <v/>
      </c>
      <c r="P47" s="6" t="str">
        <f t="shared" si="15"/>
        <v/>
      </c>
      <c r="Q47" s="59" t="str">
        <f t="shared" si="9"/>
        <v/>
      </c>
    </row>
    <row r="48" spans="3:17" ht="12.5" x14ac:dyDescent="0.25">
      <c r="C48" s="19">
        <v>100000</v>
      </c>
      <c r="D48" s="15">
        <v>0.17050000000000001</v>
      </c>
      <c r="G48" s="2">
        <f t="shared" si="5"/>
        <v>44</v>
      </c>
      <c r="H48" s="28" t="str">
        <f t="shared" si="6"/>
        <v/>
      </c>
      <c r="I48" s="21" t="e">
        <f t="shared" si="10"/>
        <v>#N/A</v>
      </c>
      <c r="J48" s="26" t="e">
        <f t="shared" si="11"/>
        <v>#N/A</v>
      </c>
      <c r="K48" s="22" t="str">
        <f t="shared" si="12"/>
        <v/>
      </c>
      <c r="L48" s="21" t="e">
        <f t="shared" si="13"/>
        <v>#N/A</v>
      </c>
      <c r="M48" s="6" t="e">
        <f t="shared" si="14"/>
        <v>#N/A</v>
      </c>
      <c r="N48" s="22" t="str">
        <f t="shared" si="7"/>
        <v/>
      </c>
      <c r="P48" s="6" t="str">
        <f t="shared" si="15"/>
        <v/>
      </c>
      <c r="Q48" s="59" t="str">
        <f t="shared" si="9"/>
        <v/>
      </c>
    </row>
    <row r="49" spans="3:17" ht="12.5" x14ac:dyDescent="0.25">
      <c r="C49" s="19">
        <v>200000</v>
      </c>
      <c r="D49" s="15">
        <v>0.2084</v>
      </c>
      <c r="G49" s="2">
        <f t="shared" si="5"/>
        <v>45</v>
      </c>
      <c r="H49" s="28" t="str">
        <f t="shared" si="6"/>
        <v/>
      </c>
      <c r="I49" s="21" t="e">
        <f t="shared" si="10"/>
        <v>#N/A</v>
      </c>
      <c r="J49" s="26" t="e">
        <f t="shared" si="11"/>
        <v>#N/A</v>
      </c>
      <c r="K49" s="22" t="str">
        <f t="shared" si="12"/>
        <v/>
      </c>
      <c r="L49" s="21" t="e">
        <f t="shared" si="13"/>
        <v>#N/A</v>
      </c>
      <c r="M49" s="6" t="e">
        <f t="shared" si="14"/>
        <v>#N/A</v>
      </c>
      <c r="N49" s="22" t="str">
        <f t="shared" si="7"/>
        <v/>
      </c>
      <c r="P49" s="6" t="str">
        <f t="shared" si="15"/>
        <v/>
      </c>
      <c r="Q49" s="59" t="str">
        <f t="shared" si="9"/>
        <v/>
      </c>
    </row>
    <row r="50" spans="3:17" ht="12.5" x14ac:dyDescent="0.25">
      <c r="C50" s="19">
        <v>300000</v>
      </c>
      <c r="D50" s="15">
        <v>0.25119999999999998</v>
      </c>
      <c r="G50" s="2">
        <f t="shared" si="5"/>
        <v>46</v>
      </c>
      <c r="H50" s="28" t="str">
        <f t="shared" si="6"/>
        <v/>
      </c>
      <c r="I50" s="21" t="e">
        <f t="shared" si="10"/>
        <v>#N/A</v>
      </c>
      <c r="J50" s="26" t="e">
        <f t="shared" si="11"/>
        <v>#N/A</v>
      </c>
      <c r="K50" s="22" t="str">
        <f t="shared" si="12"/>
        <v/>
      </c>
      <c r="L50" s="21" t="e">
        <f t="shared" si="13"/>
        <v>#N/A</v>
      </c>
      <c r="M50" s="6" t="e">
        <f t="shared" si="14"/>
        <v>#N/A</v>
      </c>
      <c r="N50" s="22" t="str">
        <f t="shared" si="7"/>
        <v/>
      </c>
      <c r="P50" s="6" t="str">
        <f t="shared" si="15"/>
        <v/>
      </c>
      <c r="Q50" s="59" t="str">
        <f t="shared" si="9"/>
        <v/>
      </c>
    </row>
    <row r="51" spans="3:17" ht="12.5" x14ac:dyDescent="0.25">
      <c r="C51" s="19">
        <v>400000</v>
      </c>
      <c r="D51" s="15">
        <v>0.27589999999999998</v>
      </c>
      <c r="G51" s="2">
        <f t="shared" si="5"/>
        <v>47</v>
      </c>
      <c r="H51" s="28" t="str">
        <f t="shared" si="6"/>
        <v/>
      </c>
      <c r="I51" s="21" t="e">
        <f t="shared" si="10"/>
        <v>#N/A</v>
      </c>
      <c r="J51" s="26" t="e">
        <f t="shared" si="11"/>
        <v>#N/A</v>
      </c>
      <c r="K51" s="22" t="str">
        <f t="shared" si="12"/>
        <v/>
      </c>
      <c r="L51" s="21" t="e">
        <f t="shared" si="13"/>
        <v>#N/A</v>
      </c>
      <c r="M51" s="6" t="e">
        <f t="shared" si="14"/>
        <v>#N/A</v>
      </c>
      <c r="N51" s="22" t="str">
        <f t="shared" si="7"/>
        <v/>
      </c>
      <c r="P51" s="6" t="str">
        <f t="shared" si="15"/>
        <v/>
      </c>
      <c r="Q51" s="59" t="str">
        <f t="shared" si="9"/>
        <v/>
      </c>
    </row>
    <row r="52" spans="3:17" ht="12.5" x14ac:dyDescent="0.25">
      <c r="C52" s="19">
        <v>500000</v>
      </c>
      <c r="D52" s="15">
        <v>0.29070000000000001</v>
      </c>
      <c r="G52" s="2">
        <f t="shared" si="5"/>
        <v>48</v>
      </c>
      <c r="H52" s="28" t="str">
        <f t="shared" si="6"/>
        <v/>
      </c>
      <c r="I52" s="21" t="e">
        <f t="shared" si="10"/>
        <v>#N/A</v>
      </c>
      <c r="J52" s="26" t="e">
        <f t="shared" si="11"/>
        <v>#N/A</v>
      </c>
      <c r="K52" s="22" t="str">
        <f t="shared" si="12"/>
        <v/>
      </c>
      <c r="L52" s="21" t="e">
        <f t="shared" si="13"/>
        <v>#N/A</v>
      </c>
      <c r="M52" s="6" t="e">
        <f t="shared" si="14"/>
        <v>#N/A</v>
      </c>
      <c r="N52" s="22" t="str">
        <f t="shared" si="7"/>
        <v/>
      </c>
      <c r="P52" s="6" t="str">
        <f t="shared" si="15"/>
        <v/>
      </c>
      <c r="Q52" s="59" t="str">
        <f t="shared" si="9"/>
        <v/>
      </c>
    </row>
    <row r="53" spans="3:17" ht="12.5" x14ac:dyDescent="0.25">
      <c r="C53" s="19">
        <v>600000</v>
      </c>
      <c r="D53" s="15">
        <v>0.30059999999999998</v>
      </c>
      <c r="G53" s="2">
        <f t="shared" si="5"/>
        <v>49</v>
      </c>
      <c r="H53" s="28" t="str">
        <f t="shared" si="6"/>
        <v/>
      </c>
      <c r="I53" s="21" t="e">
        <f t="shared" si="10"/>
        <v>#N/A</v>
      </c>
      <c r="J53" s="26" t="e">
        <f t="shared" si="11"/>
        <v>#N/A</v>
      </c>
      <c r="K53" s="22" t="str">
        <f t="shared" si="12"/>
        <v/>
      </c>
      <c r="L53" s="21" t="e">
        <f t="shared" si="13"/>
        <v>#N/A</v>
      </c>
      <c r="M53" s="6" t="e">
        <f t="shared" si="14"/>
        <v>#N/A</v>
      </c>
      <c r="N53" s="22" t="str">
        <f t="shared" si="7"/>
        <v/>
      </c>
      <c r="P53" s="6" t="str">
        <f t="shared" si="15"/>
        <v/>
      </c>
      <c r="Q53" s="59" t="str">
        <f t="shared" si="9"/>
        <v/>
      </c>
    </row>
    <row r="54" spans="3:17" ht="12.5" x14ac:dyDescent="0.25">
      <c r="C54" s="19">
        <v>700000</v>
      </c>
      <c r="D54" s="15">
        <v>0.31030000000000002</v>
      </c>
      <c r="G54" s="2">
        <f t="shared" si="5"/>
        <v>50</v>
      </c>
      <c r="H54" s="28" t="str">
        <f t="shared" si="6"/>
        <v/>
      </c>
      <c r="I54" s="21" t="e">
        <f t="shared" si="10"/>
        <v>#N/A</v>
      </c>
      <c r="J54" s="26" t="e">
        <f t="shared" si="11"/>
        <v>#N/A</v>
      </c>
      <c r="K54" s="22" t="str">
        <f t="shared" si="12"/>
        <v/>
      </c>
      <c r="L54" s="21" t="e">
        <f t="shared" si="13"/>
        <v>#N/A</v>
      </c>
      <c r="M54" s="6" t="e">
        <f t="shared" si="14"/>
        <v>#N/A</v>
      </c>
      <c r="N54" s="22" t="str">
        <f t="shared" si="7"/>
        <v/>
      </c>
      <c r="P54" s="6" t="str">
        <f t="shared" si="15"/>
        <v/>
      </c>
      <c r="Q54" s="59" t="str">
        <f t="shared" si="9"/>
        <v/>
      </c>
    </row>
    <row r="55" spans="3:17" ht="12.5" x14ac:dyDescent="0.25">
      <c r="C55" s="19">
        <v>800000</v>
      </c>
      <c r="D55" s="15">
        <v>0.31769999999999998</v>
      </c>
      <c r="G55" s="2">
        <f t="shared" si="5"/>
        <v>51</v>
      </c>
      <c r="H55" s="28" t="str">
        <f t="shared" si="6"/>
        <v/>
      </c>
      <c r="I55" s="21" t="e">
        <f t="shared" si="10"/>
        <v>#N/A</v>
      </c>
      <c r="J55" s="26" t="e">
        <f t="shared" si="11"/>
        <v>#N/A</v>
      </c>
      <c r="K55" s="22" t="str">
        <f t="shared" si="12"/>
        <v/>
      </c>
      <c r="L55" s="21" t="e">
        <f t="shared" si="13"/>
        <v>#N/A</v>
      </c>
      <c r="M55" s="6" t="e">
        <f t="shared" si="14"/>
        <v>#N/A</v>
      </c>
      <c r="N55" s="22" t="str">
        <f t="shared" si="7"/>
        <v/>
      </c>
      <c r="P55" s="6" t="str">
        <f t="shared" si="15"/>
        <v/>
      </c>
      <c r="Q55" s="59" t="str">
        <f t="shared" si="9"/>
        <v/>
      </c>
    </row>
    <row r="56" spans="3:17" ht="12.5" x14ac:dyDescent="0.25">
      <c r="C56" s="19">
        <v>900000</v>
      </c>
      <c r="D56" s="15">
        <v>0.32350000000000001</v>
      </c>
      <c r="G56" s="2">
        <f t="shared" si="5"/>
        <v>52</v>
      </c>
      <c r="H56" s="28" t="str">
        <f t="shared" si="6"/>
        <v/>
      </c>
      <c r="I56" s="21" t="e">
        <f t="shared" si="10"/>
        <v>#N/A</v>
      </c>
      <c r="J56" s="26" t="e">
        <f t="shared" si="11"/>
        <v>#N/A</v>
      </c>
      <c r="K56" s="22" t="str">
        <f t="shared" si="12"/>
        <v/>
      </c>
      <c r="L56" s="21" t="e">
        <f t="shared" si="13"/>
        <v>#N/A</v>
      </c>
      <c r="M56" s="6" t="e">
        <f t="shared" si="14"/>
        <v>#N/A</v>
      </c>
      <c r="N56" s="22" t="str">
        <f t="shared" si="7"/>
        <v/>
      </c>
      <c r="P56" s="6" t="str">
        <f t="shared" si="15"/>
        <v/>
      </c>
      <c r="Q56" s="59" t="str">
        <f t="shared" si="9"/>
        <v/>
      </c>
    </row>
    <row r="57" spans="3:17" ht="12.5" x14ac:dyDescent="0.25">
      <c r="C57" s="19">
        <v>1000000</v>
      </c>
      <c r="D57" s="15">
        <v>0.32819999999999999</v>
      </c>
      <c r="G57" s="2">
        <f t="shared" si="5"/>
        <v>53</v>
      </c>
      <c r="H57" s="28" t="str">
        <f t="shared" si="6"/>
        <v/>
      </c>
      <c r="I57" s="21" t="e">
        <f t="shared" si="10"/>
        <v>#N/A</v>
      </c>
      <c r="J57" s="26" t="e">
        <f t="shared" si="11"/>
        <v>#N/A</v>
      </c>
      <c r="K57" s="22" t="str">
        <f t="shared" si="12"/>
        <v/>
      </c>
      <c r="L57" s="21" t="e">
        <f t="shared" si="13"/>
        <v>#N/A</v>
      </c>
      <c r="M57" s="6" t="e">
        <f t="shared" si="14"/>
        <v>#N/A</v>
      </c>
      <c r="N57" s="22" t="str">
        <f t="shared" si="7"/>
        <v/>
      </c>
      <c r="P57" s="6" t="str">
        <f t="shared" si="15"/>
        <v/>
      </c>
      <c r="Q57" s="59" t="str">
        <f t="shared" si="9"/>
        <v/>
      </c>
    </row>
    <row r="58" spans="3:17" ht="12.5" x14ac:dyDescent="0.25">
      <c r="C58" s="19">
        <v>1100000</v>
      </c>
      <c r="D58" s="15">
        <v>0.33200000000000002</v>
      </c>
      <c r="G58" s="2">
        <f t="shared" si="5"/>
        <v>54</v>
      </c>
      <c r="H58" s="28" t="str">
        <f t="shared" si="6"/>
        <v/>
      </c>
      <c r="I58" s="21" t="e">
        <f t="shared" si="10"/>
        <v>#N/A</v>
      </c>
      <c r="J58" s="26" t="e">
        <f t="shared" si="11"/>
        <v>#N/A</v>
      </c>
      <c r="K58" s="22" t="str">
        <f t="shared" si="12"/>
        <v/>
      </c>
      <c r="L58" s="21" t="e">
        <f t="shared" si="13"/>
        <v>#N/A</v>
      </c>
      <c r="M58" s="6" t="e">
        <f t="shared" si="14"/>
        <v>#N/A</v>
      </c>
      <c r="N58" s="22" t="str">
        <f t="shared" si="7"/>
        <v/>
      </c>
      <c r="P58" s="6" t="str">
        <f t="shared" si="15"/>
        <v/>
      </c>
      <c r="Q58" s="59" t="str">
        <f t="shared" si="9"/>
        <v/>
      </c>
    </row>
    <row r="59" spans="3:17" ht="12.5" x14ac:dyDescent="0.25">
      <c r="C59" s="19">
        <v>1200000</v>
      </c>
      <c r="D59" s="15">
        <v>0.3352</v>
      </c>
      <c r="G59" s="2">
        <f t="shared" si="5"/>
        <v>55</v>
      </c>
      <c r="H59" s="28" t="str">
        <f t="shared" si="6"/>
        <v/>
      </c>
      <c r="I59" s="21" t="e">
        <f t="shared" si="10"/>
        <v>#N/A</v>
      </c>
      <c r="J59" s="26" t="e">
        <f t="shared" si="11"/>
        <v>#N/A</v>
      </c>
      <c r="K59" s="22" t="str">
        <f t="shared" si="12"/>
        <v/>
      </c>
      <c r="L59" s="21" t="e">
        <f t="shared" si="13"/>
        <v>#N/A</v>
      </c>
      <c r="M59" s="6" t="e">
        <f t="shared" si="14"/>
        <v>#N/A</v>
      </c>
      <c r="N59" s="22" t="str">
        <f t="shared" si="7"/>
        <v/>
      </c>
      <c r="P59" s="6" t="str">
        <f t="shared" si="15"/>
        <v/>
      </c>
      <c r="Q59" s="59" t="str">
        <f t="shared" si="9"/>
        <v/>
      </c>
    </row>
    <row r="60" spans="3:17" ht="12.5" x14ac:dyDescent="0.25">
      <c r="C60" s="19">
        <v>1300000</v>
      </c>
      <c r="D60" s="15">
        <v>0.33779999999999999</v>
      </c>
      <c r="G60" s="2">
        <f t="shared" si="5"/>
        <v>56</v>
      </c>
      <c r="H60" s="28" t="str">
        <f t="shared" si="6"/>
        <v/>
      </c>
      <c r="I60" s="21" t="e">
        <f t="shared" si="10"/>
        <v>#N/A</v>
      </c>
      <c r="J60" s="26" t="e">
        <f t="shared" si="11"/>
        <v>#N/A</v>
      </c>
      <c r="K60" s="22" t="str">
        <f t="shared" si="12"/>
        <v/>
      </c>
      <c r="L60" s="21" t="e">
        <f t="shared" si="13"/>
        <v>#N/A</v>
      </c>
      <c r="M60" s="6" t="e">
        <f t="shared" si="14"/>
        <v>#N/A</v>
      </c>
      <c r="N60" s="22" t="str">
        <f t="shared" si="7"/>
        <v/>
      </c>
      <c r="P60" s="6" t="str">
        <f t="shared" si="15"/>
        <v/>
      </c>
      <c r="Q60" s="59" t="str">
        <f t="shared" si="9"/>
        <v/>
      </c>
    </row>
    <row r="61" spans="3:17" ht="12.5" x14ac:dyDescent="0.25">
      <c r="C61" s="19">
        <v>1400000</v>
      </c>
      <c r="D61" s="15">
        <v>0.34010000000000001</v>
      </c>
      <c r="G61" s="2">
        <f t="shared" si="5"/>
        <v>57</v>
      </c>
      <c r="H61" s="28" t="str">
        <f t="shared" si="6"/>
        <v/>
      </c>
      <c r="I61" s="21" t="e">
        <f t="shared" si="10"/>
        <v>#N/A</v>
      </c>
      <c r="J61" s="26" t="e">
        <f t="shared" si="11"/>
        <v>#N/A</v>
      </c>
      <c r="K61" s="22" t="str">
        <f t="shared" si="12"/>
        <v/>
      </c>
      <c r="L61" s="21" t="e">
        <f t="shared" si="13"/>
        <v>#N/A</v>
      </c>
      <c r="M61" s="6" t="e">
        <f t="shared" si="14"/>
        <v>#N/A</v>
      </c>
      <c r="N61" s="22" t="str">
        <f t="shared" si="7"/>
        <v/>
      </c>
      <c r="P61" s="6" t="str">
        <f t="shared" si="15"/>
        <v/>
      </c>
      <c r="Q61" s="59" t="str">
        <f t="shared" si="9"/>
        <v/>
      </c>
    </row>
    <row r="62" spans="3:17" ht="12.5" x14ac:dyDescent="0.25">
      <c r="C62" s="19">
        <v>1500000</v>
      </c>
      <c r="D62" s="15">
        <v>0.34210000000000002</v>
      </c>
      <c r="G62" s="2">
        <f t="shared" si="5"/>
        <v>58</v>
      </c>
      <c r="H62" s="28" t="str">
        <f t="shared" si="6"/>
        <v/>
      </c>
      <c r="I62" s="21" t="e">
        <f t="shared" si="10"/>
        <v>#N/A</v>
      </c>
      <c r="J62" s="26" t="e">
        <f t="shared" si="11"/>
        <v>#N/A</v>
      </c>
      <c r="K62" s="22" t="str">
        <f t="shared" si="12"/>
        <v/>
      </c>
      <c r="L62" s="21" t="e">
        <f t="shared" si="13"/>
        <v>#N/A</v>
      </c>
      <c r="M62" s="6" t="e">
        <f t="shared" si="14"/>
        <v>#N/A</v>
      </c>
      <c r="N62" s="22" t="str">
        <f t="shared" si="7"/>
        <v/>
      </c>
      <c r="P62" s="6" t="str">
        <f t="shared" si="15"/>
        <v/>
      </c>
      <c r="Q62" s="59" t="str">
        <f t="shared" si="9"/>
        <v/>
      </c>
    </row>
    <row r="63" spans="3:17" ht="12.5" x14ac:dyDescent="0.25">
      <c r="C63" s="19">
        <v>1600000</v>
      </c>
      <c r="D63" s="15">
        <v>0.34389999999999998</v>
      </c>
      <c r="G63" s="2">
        <f t="shared" si="5"/>
        <v>59</v>
      </c>
      <c r="H63" s="29" t="str">
        <f t="shared" si="6"/>
        <v/>
      </c>
      <c r="I63" s="23" t="e">
        <f t="shared" si="10"/>
        <v>#N/A</v>
      </c>
      <c r="J63" s="27" t="e">
        <f t="shared" si="11"/>
        <v>#N/A</v>
      </c>
      <c r="K63" s="25" t="str">
        <f t="shared" si="12"/>
        <v/>
      </c>
      <c r="L63" s="23" t="e">
        <f t="shared" si="13"/>
        <v>#N/A</v>
      </c>
      <c r="M63" s="24" t="e">
        <f t="shared" si="14"/>
        <v>#N/A</v>
      </c>
      <c r="N63" s="25" t="str">
        <f t="shared" si="7"/>
        <v/>
      </c>
      <c r="P63" s="6" t="str">
        <f t="shared" si="15"/>
        <v/>
      </c>
      <c r="Q63" s="59" t="str">
        <f t="shared" si="9"/>
        <v/>
      </c>
    </row>
    <row r="64" spans="3:17" ht="12.5" x14ac:dyDescent="0.25">
      <c r="C64" s="19">
        <v>1700000</v>
      </c>
      <c r="D64" s="15">
        <v>0.34539999999999998</v>
      </c>
      <c r="P64" s="2">
        <f t="shared" si="15"/>
        <v>0</v>
      </c>
    </row>
    <row r="65" spans="3:4" ht="15.75" customHeight="1" x14ac:dyDescent="0.25">
      <c r="C65" s="19">
        <v>1800000</v>
      </c>
      <c r="D65" s="15">
        <v>0.3468</v>
      </c>
    </row>
    <row r="66" spans="3:4" ht="15.75" customHeight="1" x14ac:dyDescent="0.25">
      <c r="C66" s="19">
        <v>1900000</v>
      </c>
      <c r="D66" s="15">
        <v>0.34799999999999998</v>
      </c>
    </row>
    <row r="67" spans="3:4" ht="15.75" customHeight="1" x14ac:dyDescent="0.25">
      <c r="C67" s="20">
        <v>2000000</v>
      </c>
      <c r="D67" s="16">
        <v>0.34910000000000002</v>
      </c>
    </row>
  </sheetData>
  <mergeCells count="1">
    <mergeCell ref="C46:D46"/>
  </mergeCells>
  <pageMargins left="0.7" right="0.7" top="0.75" bottom="0.75" header="0.3" footer="0.3"/>
  <pageSetup paperSize="9" orientation="portrait" horizontalDpi="4294967293"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8D0A8-80FB-4672-96F3-1E3D5A5170D4}">
  <dimension ref="B2:F15"/>
  <sheetViews>
    <sheetView showGridLines="0" workbookViewId="0">
      <selection activeCell="C5" sqref="C5"/>
    </sheetView>
  </sheetViews>
  <sheetFormatPr defaultRowHeight="12.5" x14ac:dyDescent="0.25"/>
  <cols>
    <col min="2" max="2" width="33.1796875" bestFit="1" customWidth="1"/>
    <col min="5" max="5" width="10.54296875" customWidth="1"/>
  </cols>
  <sheetData>
    <row r="2" spans="2:6" ht="25" x14ac:dyDescent="0.5">
      <c r="B2" s="1" t="s">
        <v>46</v>
      </c>
      <c r="D2" s="39" t="s">
        <v>30</v>
      </c>
      <c r="E2" s="40" t="s">
        <v>31</v>
      </c>
      <c r="F2" s="38" t="s">
        <v>32</v>
      </c>
    </row>
    <row r="4" spans="2:6" x14ac:dyDescent="0.25">
      <c r="B4" s="2" t="s">
        <v>33</v>
      </c>
      <c r="C4" s="9">
        <v>1</v>
      </c>
    </row>
    <row r="5" spans="2:6" x14ac:dyDescent="0.25">
      <c r="B5" s="2" t="s">
        <v>34</v>
      </c>
      <c r="C5" s="2">
        <f>3+C4</f>
        <v>4</v>
      </c>
    </row>
    <row r="7" spans="2:6" x14ac:dyDescent="0.25">
      <c r="B7" s="2" t="s">
        <v>35</v>
      </c>
      <c r="C7" s="11">
        <v>350</v>
      </c>
      <c r="D7" s="2" t="s">
        <v>36</v>
      </c>
      <c r="E7" s="2" t="s">
        <v>6</v>
      </c>
    </row>
    <row r="8" spans="2:6" x14ac:dyDescent="0.25">
      <c r="B8" s="2" t="s">
        <v>37</v>
      </c>
      <c r="C8" s="11">
        <v>1250</v>
      </c>
      <c r="D8" s="2" t="s">
        <v>38</v>
      </c>
      <c r="E8" s="2" t="s">
        <v>6</v>
      </c>
    </row>
    <row r="9" spans="2:6" x14ac:dyDescent="0.25">
      <c r="B9" s="12" t="s">
        <v>39</v>
      </c>
      <c r="C9" s="13">
        <f>C7+(C8*C5)</f>
        <v>5350</v>
      </c>
      <c r="D9" s="12"/>
    </row>
    <row r="12" spans="2:6" x14ac:dyDescent="0.25">
      <c r="B12" s="2" t="s">
        <v>40</v>
      </c>
      <c r="C12" s="9">
        <v>300</v>
      </c>
      <c r="D12" s="2" t="s">
        <v>41</v>
      </c>
    </row>
    <row r="13" spans="2:6" x14ac:dyDescent="0.25">
      <c r="B13" s="2" t="s">
        <v>42</v>
      </c>
      <c r="C13" s="11">
        <f>('Earnings NPV'!C14*(1-'Earnings NPV'!C12))/2080</f>
        <v>46.852033317001478</v>
      </c>
      <c r="D13" s="2" t="s">
        <v>43</v>
      </c>
      <c r="E13" s="2" t="s">
        <v>6</v>
      </c>
    </row>
    <row r="14" spans="2:6" x14ac:dyDescent="0.25">
      <c r="B14" s="2" t="s">
        <v>44</v>
      </c>
      <c r="C14" s="6">
        <f>C12*C13</f>
        <v>14055.609995100443</v>
      </c>
    </row>
    <row r="15" spans="2:6" x14ac:dyDescent="0.25">
      <c r="B15" s="12" t="s">
        <v>45</v>
      </c>
      <c r="C15" s="13">
        <f>C14*C5</f>
        <v>56222.439980401774</v>
      </c>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Cost Benefit</vt:lpstr>
      <vt:lpstr>Earnings NPV</vt:lpstr>
      <vt:lpstr>Cost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Elad Smadja</dc:creator>
  <cp:lastModifiedBy>Elad Smadja</cp:lastModifiedBy>
  <dcterms:created xsi:type="dcterms:W3CDTF">2025-06-18T11:47:25Z</dcterms:created>
  <dcterms:modified xsi:type="dcterms:W3CDTF">2025-07-28T13:36:55Z</dcterms:modified>
</cp:coreProperties>
</file>